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<sst xmlns="http://schemas.openxmlformats.org/spreadsheetml/2006/main" count="112" uniqueCount="100">
  <si>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Eagers Automotive Limited (APE.AX)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</si>
  <si>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</si>
  <si>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</si>
  <si>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</si>
  <si>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</si>
  <si>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</si>
  <si>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</si>
  <si>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</si>
  <si>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</si>
  <si>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</si>
  <si>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</si>
  <si>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</si>
  <si>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</si>
  <si>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</si>
  <si>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</si>
  <si>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</si>
  <si>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</si>
  <si>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</si>
  <si>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</si>
  <si>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</si>
  <si>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</si>
  <si>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</si>
  <si>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</si>
  <si>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</si>
  <si>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</si>
  <si>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</si>
  <si>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</si>
  <si>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</si>
  <si>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</si>
  <si>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</si>
  <si>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2025-12-31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</si>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</sst>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0.151609893678605</v>
      </c>
    </row>
    <row r="7" spans="1:2" x14ac:dyDescent="0.25">
      <c r="A7" t="s">
        <v>5</v>
      </c>
      <c r="B7" s="6">
        <v>0.050603377311675184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0.012672733612741582</v>
      </c>
    </row>
    <row r="10" spans="1:2" x14ac:dyDescent="0.25">
      <c r="A10" t="s">
        <v>8</v>
      </c>
      <c r="B10" s="6">
        <v>0.01199414906248443</v>
      </c>
    </row>
    <row r="11" spans="1:2" x14ac:dyDescent="0.25">
      <c r="A11" t="s">
        <v>9</v>
      </c>
      <c r="B11" s="6">
        <v>0.2188872189863203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10.86138132985372</v>
      </c>
    </row>
    <row r="14" spans="1:3" x14ac:dyDescent="0.25">
      <c r="A14" t="s">
        <v>12</v>
      </c>
      <c r="B14" s="6">
        <v>0.11274925696291836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0.90486</v>
      </c>
      <c r="C19" s="8" t="s">
        <v>19</v>
      </c>
    </row>
    <row r="20" spans="1:2" x14ac:dyDescent="0.25">
      <c r="A20" t="s">
        <v>20</v>
      </c>
      <c r="B20" s="10">
        <f>B17+B19*B18</f>
        <v>0.1077716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5508248064</v>
      </c>
    </row>
    <row r="23" spans="1:2" x14ac:dyDescent="0.25">
      <c r="A23" t="s">
        <v>24</v>
      </c>
      <c r="B23" s="11">
        <v>3055856000</v>
      </c>
    </row>
    <row r="24" spans="1:2" x14ac:dyDescent="0.25">
      <c r="A24" t="s">
        <v>25</v>
      </c>
      <c r="B24" s="10">
        <f>B22/(B22+B23)</f>
        <v>0.6431785535108603</v>
      </c>
    </row>
    <row r="25" spans="1:2" x14ac:dyDescent="0.25">
      <c r="A25" t="s">
        <v>26</v>
      </c>
      <c r="B25" s="10">
        <f>1-B24</f>
        <v>0.3568214464891397</v>
      </c>
    </row>
    <row r="26" spans="1:2" x14ac:dyDescent="0.25">
      <c r="A26" t="s">
        <v>27</v>
      </c>
      <c r="B26" s="12">
        <f>B24*B20+B25*B21*(1-B8)</f>
        <v>0.08267434946831845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13045190000</v>
      </c>
      <c r="C29" s="8" t="s">
        <v>30</v>
      </c>
    </row>
    <row r="30" spans="1:2" x14ac:dyDescent="0.25">
      <c r="A30" t="s">
        <v>31</v>
      </c>
      <c r="B30" s="11">
        <v>2599154000</v>
      </c>
    </row>
    <row r="31" spans="1:2" x14ac:dyDescent="0.25">
      <c r="A31" t="s">
        <v>32</v>
      </c>
      <c r="B31" s="13">
        <v>262030058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0.151609893678605</v>
      </c>
      <c r="C5" s="10">
        <f>Assumptions!B6</f>
        <v>0.151609893678605</v>
      </c>
      <c r="D5" s="10">
        <f>Assumptions!B6</f>
        <v>0.151609893678605</v>
      </c>
      <c r="E5" s="10">
        <f>Assumptions!B6</f>
        <v>0.151609893678605</v>
      </c>
      <c r="F5" s="10">
        <f>Assumptions!B6</f>
        <v>0.151609893678605</v>
      </c>
    </row>
    <row r="6" spans="1:6" x14ac:dyDescent="0.25">
      <c r="A6" t="s">
        <v>43</v>
      </c>
      <c r="B6" s="18">
        <f>Assumptions!B29*(1+B5)</f>
        <v>15022969868.917202</v>
      </c>
      <c r="C6" s="18">
        <f>B6*(1+C5)</f>
        <v>17300600733.480625</v>
      </c>
      <c r="D6" s="18">
        <f>C6*(1+D5)</f>
        <v>19923542971.259617</v>
      </c>
      <c r="E6" s="18">
        <f>D6*(1+E5)</f>
        <v>22944149202.833405</v>
      </c>
      <c r="F6" s="18">
        <f>E6*(1+F5)</f>
        <v>26422709224.021027</v>
      </c>
    </row>
    <row r="7" spans="1:6" x14ac:dyDescent="0.25">
      <c r="A7" t="s">
        <v>5</v>
      </c>
      <c r="B7" s="10">
        <f>Assumptions!B7</f>
        <v>0.050603377311675184</v>
      </c>
      <c r="C7" s="10">
        <f>Assumptions!B7</f>
        <v>0.050603377311675184</v>
      </c>
      <c r="D7" s="10">
        <f>Assumptions!B7</f>
        <v>0.050603377311675184</v>
      </c>
      <c r="E7" s="10">
        <f>Assumptions!B7</f>
        <v>0.050603377311675184</v>
      </c>
      <c r="F7" s="10">
        <f>Assumptions!B7</f>
        <v>0.050603377311675184</v>
      </c>
    </row>
    <row r="8" spans="1:6" x14ac:dyDescent="0.25">
      <c r="A8" t="s">
        <v>44</v>
      </c>
      <c r="B8" s="18">
        <f>B6*B7</f>
        <v>760213012.6187446</v>
      </c>
      <c r="C8" s="18">
        <f>C6*C7</f>
        <v>875468826.6349645</v>
      </c>
      <c r="D8" s="18">
        <f>D6*D7</f>
        <v>1008198562.3600245</v>
      </c>
      <c r="E8" s="18">
        <f>E6*E7</f>
        <v>1161051439.20635</v>
      </c>
      <c r="F8" s="18">
        <f>F6*F7</f>
        <v>1337078324.4598162</v>
      </c>
    </row>
    <row r="9" spans="1:6" x14ac:dyDescent="0.25">
      <c r="A9" t="s">
        <v>45</v>
      </c>
      <c r="B9" s="18">
        <f>B8*(1-Assumptions!B8)</f>
        <v>532149108.8331212</v>
      </c>
      <c r="C9" s="18">
        <f>C8*(1-Assumptions!B8)</f>
        <v>612828178.6444751</v>
      </c>
      <c r="D9" s="18">
        <f>D8*(1-Assumptions!B8)</f>
        <v>705738993.6520171</v>
      </c>
      <c r="E9" s="18">
        <f>E8*(1-Assumptions!B8)</f>
        <v>812736007.444445</v>
      </c>
      <c r="F9" s="18">
        <f>F8*(1-Assumptions!B8)</f>
        <v>935954827.1218714</v>
      </c>
    </row>
    <row r="10" spans="1:6" x14ac:dyDescent="0.25">
      <c r="A10" t="s">
        <v>46</v>
      </c>
      <c r="B10" s="18">
        <f>B6*Assumptions!B9</f>
        <v>190382095.221031</v>
      </c>
      <c r="C10" s="18">
        <f>C6*Assumptions!B9</f>
        <v>219245904.4358016</v>
      </c>
      <c r="D10" s="18">
        <f>D6*Assumptions!B9</f>
        <v>252485752.69678304</v>
      </c>
      <c r="E10" s="18">
        <f>E6*Assumptions!B9</f>
        <v>290765090.81850487</v>
      </c>
      <c r="F10" s="18">
        <f>F6*Assumptions!B9</f>
        <v>334847955.3229483</v>
      </c>
    </row>
    <row r="11" spans="1:6" x14ac:dyDescent="0.25">
      <c r="A11" t="s">
        <v>47</v>
      </c>
      <c r="B11" s="18">
        <f>-B6*Assumptions!B10</f>
        <v>-180187739.9690051</v>
      </c>
      <c r="C11" s="18">
        <f>-C6*Assumptions!B10</f>
        <v>-207505984.06789407</v>
      </c>
      <c r="D11" s="18">
        <f>-D6*Assumptions!B10</f>
        <v>-238965944.25010177</v>
      </c>
      <c r="E11" s="18">
        <f>-E6*Assumptions!B10</f>
        <v>-275195545.65066713</v>
      </c>
      <c r="F11" s="18">
        <f>-F6*Assumptions!B10</f>
        <v>-316917913.0675905</v>
      </c>
    </row>
    <row r="12" spans="1:6" x14ac:dyDescent="0.25">
      <c r="A12" t="s">
        <v>48</v>
      </c>
      <c r="B12" s="18">
        <f>-(B6-Assumptions!B29)*Assumptions!B11</f>
        <v>-432910735.27441543</v>
      </c>
      <c r="C12" s="18">
        <f>-(C6-B6)*Assumptions!B11</f>
        <v>-498544285.82169604</v>
      </c>
      <c r="D12" s="18">
        <f>-(D6-C6)*Assumptions!B11</f>
        <v>-574128531.9891992</v>
      </c>
      <c r="E12" s="18">
        <f>-(E6-D6)*Assumptions!B11</f>
        <v>-661172097.6819354</v>
      </c>
      <c r="F12" s="18">
        <f>-(F6-E6)*Assumptions!B11</f>
        <v>-761412329.114754</v>
      </c>
    </row>
    <row r="13" spans="1:6" x14ac:dyDescent="0.25">
      <c r="A13" s="19" t="s">
        <v>49</v>
      </c>
      <c r="B13" s="20">
        <f>B9+B10+B11+B12</f>
        <v>109432728.81073171</v>
      </c>
      <c r="C13" s="20">
        <f>C9+C10+C11+C12</f>
        <v>126023813.19068658</v>
      </c>
      <c r="D13" s="20">
        <f>D9+D10+D11+D12</f>
        <v>145130270.10949922</v>
      </c>
      <c r="E13" s="20">
        <f>E9+E10+E11+E12</f>
        <v>167133454.93034732</v>
      </c>
      <c r="F13" s="20">
        <f>F9+F10+F11+F12</f>
        <v>192472540.26247525</v>
      </c>
    </row>
    <row r="14" spans="1:6" x14ac:dyDescent="0.25">
      <c r="A14" t="s">
        <v>50</v>
      </c>
      <c r="B14" s="21">
        <f>1/(1+Assumptions!$B$26)^(1-0.5*Assumptions!$B$32)</f>
        <v>0.9610612706204557</v>
      </c>
      <c r="C14" s="21">
        <f>1/(1+Assumptions!$B$26)^(2-0.5*Assumptions!$B$32)</f>
        <v>0.8876734459372896</v>
      </c>
      <c r="D14" s="21">
        <f>1/(1+Assumptions!$B$26)^(3-0.5*Assumptions!$B$32)</f>
        <v>0.8198896061158277</v>
      </c>
      <c r="E14" s="21">
        <f>1/(1+Assumptions!$B$26)^(4-0.5*Assumptions!$B$32)</f>
        <v>0.7572818239560773</v>
      </c>
      <c r="F14" s="21">
        <f>1/(1+Assumptions!$B$26)^(5-0.5*Assumptions!$B$32)</f>
        <v>0.6994548493071483</v>
      </c>
    </row>
    <row r="15" spans="1:6" x14ac:dyDescent="0.25">
      <c r="A15" s="19" t="s">
        <v>51</v>
      </c>
      <c r="B15" s="20">
        <f>B13*B14</f>
        <v>105171557.39830557</v>
      </c>
      <c r="C15" s="20">
        <f>C13*C14</f>
        <v>111867992.52513401</v>
      </c>
      <c r="D15" s="20">
        <f>D13*D14</f>
        <v>118990799.995561</v>
      </c>
      <c r="E15" s="20">
        <f>E13*E14</f>
        <v>126567127.59373426</v>
      </c>
      <c r="F15" s="20">
        <f>F13*F14</f>
        <v>134625851.64505365</v>
      </c>
    </row>
    <row r="17" spans="1:2" x14ac:dyDescent="0.25">
      <c r="A17" s="22" t="s">
        <v>52</v>
      </c>
      <c r="B17" s="23">
        <f>SUM(B15:F15)</f>
        <v>597223329.1577885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192472540.26247525</v>
      </c>
    </row>
    <row r="5" spans="1:2" x14ac:dyDescent="0.25">
      <c r="A5" t="s">
        <v>56</v>
      </c>
      <c r="B5" s="18">
        <f>IF(Assumptions!$B$33=0,B4,B4-Forecast!F11-Forecast!F10-Forecast!F12)</f>
        <v>935954827.1218714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0.22173095125781758</v>
      </c>
    </row>
    <row r="7" spans="1:2" x14ac:dyDescent="0.25">
      <c r="A7" t="s">
        <v>58</v>
      </c>
      <c r="B7" s="18">
        <f>-MAX(Forecast!F9,0)*B6</f>
        <v>-207530154.15207875</v>
      </c>
    </row>
    <row r="8" spans="1:2" x14ac:dyDescent="0.25">
      <c r="A8" t="s">
        <v>59</v>
      </c>
      <c r="B8" s="18">
        <f>IF(OR(Assumptions!$B$33=0,Assumptions!B12&lt;=0),B5,MAX(B5+B7,0))</f>
        <v>728424672.9697926</v>
      </c>
    </row>
    <row r="9" spans="1:2" x14ac:dyDescent="0.25">
      <c r="A9" t="s">
        <v>60</v>
      </c>
      <c r="B9" s="18">
        <f>B8*(1+Assumptions!B12)/(Assumptions!B26-Assumptions!B12)</f>
        <v>12945708043.125437</v>
      </c>
    </row>
    <row r="10" spans="1:2" x14ac:dyDescent="0.25">
      <c r="A10" t="s">
        <v>61</v>
      </c>
      <c r="B10" s="18">
        <f>B9/(1+Assumptions!B26)^(5-0.5*Assumptions!B32)</f>
        <v>9054938268.47864</v>
      </c>
    </row>
    <row r="11" spans="1:2" x14ac:dyDescent="0.25">
      <c r="A11" t="s">
        <v>62</v>
      </c>
      <c r="B11" s="18">
        <f>Forecast!B17+B10</f>
        <v>9652161597.636429</v>
      </c>
    </row>
    <row r="12" spans="1:2" x14ac:dyDescent="0.25">
      <c r="A12" t="s">
        <v>63</v>
      </c>
      <c r="B12" s="18">
        <f>-Assumptions!B30</f>
        <v>-2599154000</v>
      </c>
    </row>
    <row r="13" spans="1:2" x14ac:dyDescent="0.25">
      <c r="A13" t="s">
        <v>64</v>
      </c>
      <c r="B13" s="18">
        <f>B11+B12</f>
        <v>7053007597.636429</v>
      </c>
    </row>
    <row r="14" spans="1:2" x14ac:dyDescent="0.25">
      <c r="A14" s="19" t="s">
        <v>65</v>
      </c>
      <c r="B14" s="24">
        <f>B13/Assumptions!B31</f>
        <v>26.916788293182872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1671926279.7827644</v>
      </c>
    </row>
    <row r="18" spans="1:2" x14ac:dyDescent="0.25">
      <c r="A18" t="s">
        <v>60</v>
      </c>
      <c r="B18" s="18">
        <f>B17*Assumptions!B13</f>
        <v>18159428880.124302</v>
      </c>
    </row>
    <row r="19" spans="1:2" x14ac:dyDescent="0.25">
      <c r="A19" t="s">
        <v>61</v>
      </c>
      <c r="B19" s="18">
        <f>B18/(1+Assumptions!B26)^(5-0.5*Assumptions!B32)</f>
        <v>12701700590.851221</v>
      </c>
    </row>
    <row r="20" spans="1:2" x14ac:dyDescent="0.25">
      <c r="A20" t="s">
        <v>62</v>
      </c>
      <c r="B20" s="18">
        <f>Forecast!B17+B19</f>
        <v>13298923920.00901</v>
      </c>
    </row>
    <row r="21" spans="1:2" x14ac:dyDescent="0.25">
      <c r="A21" t="s">
        <v>63</v>
      </c>
      <c r="B21" s="18">
        <f>-Assumptions!B30</f>
        <v>-2599154000</v>
      </c>
    </row>
    <row r="22" spans="1:2" x14ac:dyDescent="0.25">
      <c r="A22" t="s">
        <v>64</v>
      </c>
      <c r="B22" s="18">
        <f>B20+B21</f>
        <v>10699769920.00901</v>
      </c>
    </row>
    <row r="23" spans="1:2" x14ac:dyDescent="0.25">
      <c r="A23" s="19" t="s">
        <v>65</v>
      </c>
      <c r="B23" s="25">
        <f>B22/Assumptions!B31</f>
        <v>40.8341317850222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19.52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26.916788293182872</v>
      </c>
    </row>
    <row r="29" spans="1:2" x14ac:dyDescent="0.25">
      <c r="A29" s="19" t="s">
        <v>73</v>
      </c>
      <c r="B29" s="12">
        <f>B28/B26-1</f>
        <v>0.37893382649502416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0.062674</v>
      </c>
      <c r="B5" s="31">
        <v>42.62694322685487</v>
      </c>
      <c r="C5" s="31">
        <v>45.89908682990721</v>
      </c>
      <c r="D5" s="31">
        <v>50.00778910754349</v>
      </c>
      <c r="E5" s="31">
        <v>55.337097930203825</v>
      </c>
      <c r="F5" s="31">
        <v>62.54861256707083</v>
      </c>
    </row>
    <row r="6" spans="1:6" x14ac:dyDescent="0.25">
      <c r="A6" s="30">
        <v>0.072674</v>
      </c>
      <c r="B6" s="31">
        <v>32.16147767482507</v>
      </c>
      <c r="C6" s="31">
        <v>33.91164005781735</v>
      </c>
      <c r="D6" s="31">
        <v>36.004681769224966</v>
      </c>
      <c r="E6" s="31">
        <v>38.561125608087856</v>
      </c>
      <c r="F6" s="31">
        <v>41.76547632335299</v>
      </c>
    </row>
    <row r="7" spans="1:6" x14ac:dyDescent="0.25">
      <c r="A7" s="30">
        <v>0.082674</v>
      </c>
      <c r="B7" s="31">
        <v>24.846806100677778</v>
      </c>
      <c r="C7" s="31">
        <v>25.808187106965875</v>
      </c>
      <c r="D7" s="32">
        <v>26.91704981099903</v>
      </c>
      <c r="E7" s="31">
        <v>28.215392645897484</v>
      </c>
      <c r="F7" s="31">
        <v>29.762833054354946</v>
      </c>
    </row>
    <row r="8" spans="1:6" x14ac:dyDescent="0.25">
      <c r="A8" s="30">
        <v>0.092674</v>
      </c>
      <c r="B8" s="31">
        <v>19.463070446959726</v>
      </c>
      <c r="C8" s="31">
        <v>19.982469546130577</v>
      </c>
      <c r="D8" s="31">
        <v>20.56291046751738</v>
      </c>
      <c r="E8" s="31">
        <v>21.219002575980213</v>
      </c>
      <c r="F8" s="31">
        <v>21.970421423867435</v>
      </c>
    </row>
    <row r="9" spans="1:6" x14ac:dyDescent="0.25">
      <c r="A9" s="30">
        <v>0.102674</v>
      </c>
      <c r="B9" s="31">
        <v>15.347127976168299</v>
      </c>
      <c r="C9" s="31">
        <v>15.605553598936284</v>
      </c>
      <c r="D9" s="31">
        <v>15.884113488071778</v>
      </c>
      <c r="E9" s="31">
        <v>16.18696338009008</v>
      </c>
      <c r="F9" s="31">
        <v>16.51948717491202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13045190000</v>
      </c>
      <c r="C5" s="18">
        <v>11193742000</v>
      </c>
      <c r="D5" s="18">
        <v>9851681000</v>
      </c>
      <c r="E5" s="18">
        <v>8541502000</v>
      </c>
      <c r="F5" s="8" t="s">
        <v>84</v>
      </c>
    </row>
    <row r="6" spans="1:6" x14ac:dyDescent="0.25">
      <c r="A6" t="s">
        <v>44</v>
      </c>
      <c r="B6" s="18">
        <v>591537000</v>
      </c>
      <c r="C6" s="18">
        <v>534846000</v>
      </c>
      <c r="D6" s="18">
        <v>540849000</v>
      </c>
      <c r="E6" s="18">
        <v>464558000</v>
      </c>
      <c r="F6" s="8" t="s">
        <v>85</v>
      </c>
    </row>
    <row r="7" spans="1:6" x14ac:dyDescent="0.25">
      <c r="A7" t="s">
        <v>86</v>
      </c>
      <c r="B7" s="18">
        <v>154906000</v>
      </c>
      <c r="C7" s="18">
        <v>143871000</v>
      </c>
      <c r="D7" s="18">
        <v>121296000</v>
      </c>
      <c r="E7" s="18">
        <v>116603000</v>
      </c>
      <c r="F7" s="8" t="s">
        <v>87</v>
      </c>
    </row>
    <row r="8" spans="1:6" x14ac:dyDescent="0.25">
      <c r="A8" t="s">
        <v>88</v>
      </c>
      <c r="B8" s="18">
        <v>71274000</v>
      </c>
      <c r="C8" s="18">
        <v>117649000</v>
      </c>
      <c r="D8" s="18">
        <v>74296000</v>
      </c>
      <c r="E8" s="18">
        <v>208936000</v>
      </c>
      <c r="F8" s="8" t="s">
        <v>89</v>
      </c>
    </row>
    <row r="9" spans="1:6" x14ac:dyDescent="0.25">
      <c r="A9" t="s">
        <v>90</v>
      </c>
      <c r="B9" s="18">
        <v>228455000</v>
      </c>
      <c r="C9" s="18">
        <v>293760000</v>
      </c>
      <c r="D9" s="18">
        <v>436289000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3055856000</v>
      </c>
      <c r="C10" s="18">
        <v>3370592000</v>
      </c>
      <c r="D10" s="18">
        <v>2674278000</v>
      </c>
      <c r="E10" s="18">
        <v>2339004000</v>
      </c>
      <c r="F10" s="8" t="s">
        <v>93</v>
      </c>
    </row>
    <row r="11" spans="1:6" x14ac:dyDescent="0.25">
      <c r="A11" t="s">
        <v>94</v>
      </c>
      <c r="B11" s="18">
        <v>456702000</v>
      </c>
      <c r="C11" s="18">
        <v>183683000</v>
      </c>
      <c r="D11" s="18">
        <v>222214000</v>
      </c>
      <c r="E11" s="18">
        <v>190434000</v>
      </c>
      <c r="F11" s="8" t="s">
        <v>95</v>
      </c>
    </row>
    <row r="12" spans="1:6" x14ac:dyDescent="0.25">
      <c r="A12" t="s">
        <v>32</v>
      </c>
      <c r="B12" s="34">
        <v>262030058</v>
      </c>
      <c r="C12" s="34">
        <v>261762467</v>
      </c>
      <c r="D12" s="34">
        <v>260065885</v>
      </c>
      <c r="E12" s="34">
        <v>260151783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2026-09-19T01:03:25Z</dcterms:modified>
</cp:coreProperties>
</file>