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<sst xmlns="http://schemas.openxmlformats.org/spreadsheetml/2006/main" count="120" uniqueCount="107">
  <si>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Amphenol Corporation (APH)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</si>
  <si>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</si>
  <si>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</si>
  <si>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</si>
  <si>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</si>
  <si>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</si>
  <si>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</si>
  <si>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</si>
  <si>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</si>
  <si>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</si>
  <si>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</si>
  <si>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</si>
  <si>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</si>
  <si>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</si>
  <si>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</si>
  <si>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</si>
  <si>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</si>
  <si>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</si>
  <si>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</si>
  <si>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</si>
  <si>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</si>
  <si>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</si>
  <si>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</si>
  <si>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</si>
  <si>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16.2x interest cover.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</si>
  <si>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</si>
  <si>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</si>
  <si>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</si>
  <si>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</si>
  <si>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</si>
  <si>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</si>
  <si>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</si>
  <si>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</si>
  <si>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</si>
  <si>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</si>
  <si>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</si>
  <si>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</si>
  <si>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</si>
  <si>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</si>
  <si>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</si>
  <si>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</si>
  <si>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</si>
  <si>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</si>
  <si>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</si>
  <si>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</si>
  <si>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</si>
  <si>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</si>
  <si>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</si>
  <si>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</si>
  <si>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</si>
  <si>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</si>
  <si>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</si>
  <si>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</si>
  <si>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</si>
  <si>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</si>
  <si>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</si>
  <si>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</si>
  <si>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</si>
  <si>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</si>
  <si>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</si>
  <si>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</si>
  <si>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</si>
  <si>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</si>
  <si>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</si>
  <si>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</si>
  <si>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</si>
  <si>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</si>
  <si>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</si>
  <si>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</si>
  <si>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</si>
  <si>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</si>
  <si>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</si>
  <si>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</si>
  <si>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</si>
  <si>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</si>
  <si>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</si>
  <si>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</si>
  <si>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</si>
  <si>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</si>
  <si>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</si>
  <si>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</si>
  <si>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</si>
  <si>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</si>
  <si>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</si>
  <si>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</si>
  <si>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</si>
  <si>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</si>
  <si>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</si>
  <si>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</si>
  <si>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</si>
  <si>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</si>
  <si>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</si>
  <si>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</si>
  <si>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</si>
  <si>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</si>
  <si>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</si>
  <si>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</si>
  <si>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</si>
  <si>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</si>
  <si>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</si>
  <si>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</si>
  <si>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</si>
  <si>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</si>
  <si>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</si>
  <si>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</si>
  <si>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29.2x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</si>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</sst>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0.22188023573906762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0.035261069630431296</v>
      </c>
    </row>
    <row r="10" spans="1:3" x14ac:dyDescent="0.25">
      <c r="A10" t="s">
        <v>7</v>
      </c>
      <c r="B10" s="5">
        <v>0.03674066755056873</v>
      </c>
      <c r="C10" s="6" t="s">
        <v>8</v>
      </c>
    </row>
    <row r="11" spans="1:2" x14ac:dyDescent="0.25">
      <c r="A11" t="s">
        <v>9</v>
      </c>
      <c r="B11" s="5">
        <v>0.26714978802647393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0.16237039723850166</v>
      </c>
      <c r="C14" s="6" t="s">
        <v>13</v>
      </c>
    </row>
    <row r="15" spans="1:3" x14ac:dyDescent="0.25">
      <c r="A15" t="s">
        <v>14</v>
      </c>
      <c r="B15" s="5">
        <v>0.035261069630431296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1.1869299999999998</v>
      </c>
      <c r="C19" s="6" t="s">
        <v>21</v>
      </c>
    </row>
    <row r="20" spans="1:2" x14ac:dyDescent="0.25">
      <c r="A20" t="s">
        <v>22</v>
      </c>
      <c r="B20" s="9">
        <f>B17+B19*B18</f>
        <v>0.099147139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197145821184</v>
      </c>
    </row>
    <row r="23" spans="1:2" x14ac:dyDescent="0.25">
      <c r="A23" t="s">
        <v>26</v>
      </c>
      <c r="B23" s="10">
        <v>15502000000</v>
      </c>
    </row>
    <row r="24" spans="1:2" x14ac:dyDescent="0.25">
      <c r="A24" t="s">
        <v>27</v>
      </c>
      <c r="B24" s="9">
        <f>B22/(B22+B23)</f>
        <v>0.9271001230405911</v>
      </c>
    </row>
    <row r="25" spans="1:2" x14ac:dyDescent="0.25">
      <c r="A25" t="s">
        <v>28</v>
      </c>
      <c r="B25" s="9">
        <f>1-B24</f>
        <v>0.07289987695940892</v>
      </c>
    </row>
    <row r="26" spans="1:2" x14ac:dyDescent="0.25">
      <c r="A26" t="s">
        <v>29</v>
      </c>
      <c r="B26" s="11">
        <f>B24*B20+B25*B21*(1-B8)</f>
        <v>0.09496818716014517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23094700000</v>
      </c>
      <c r="C29" s="6" t="s">
        <v>32</v>
      </c>
    </row>
    <row r="30" spans="1:2" x14ac:dyDescent="0.25">
      <c r="A30" t="s">
        <v>33</v>
      </c>
      <c r="B30" s="10">
        <v>4067800000</v>
      </c>
    </row>
    <row r="31" spans="1:2" x14ac:dyDescent="0.25">
      <c r="A31" t="s">
        <v>34</v>
      </c>
      <c r="B31" s="12">
        <v>2555000000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0.24931724988208548</v>
      </c>
      <c r="D5" s="5">
        <v>0.22127759364682478</v>
      </c>
      <c r="E5" s="5">
        <v>0.19323793741156411</v>
      </c>
      <c r="F5" s="5">
        <v>0.16519828117630342</v>
      </c>
      <c r="G5" s="5">
        <v>0.13715862494104275</v>
      </c>
      <c r="H5" s="5">
        <v>0.10911896870578205</v>
      </c>
      <c r="I5" s="5">
        <v>0.08107931247052136</v>
      </c>
      <c r="J5" s="5">
        <v>0.05303965623526069</v>
      </c>
      <c r="K5" s="5">
        <v>0.024999999999999994</v>
      </c>
    </row>
    <row r="6" spans="1:11" x14ac:dyDescent="0.25">
      <c r="A6" t="s">
        <v>50</v>
      </c>
      <c r="B6" s="18">
        <f>Assumptions!B29*(1+B5)</f>
        <v>34642050000</v>
      </c>
      <c r="C6" s="18">
        <f>B6*(1+C5)</f>
        <v>43278910636.2777</v>
      </c>
      <c r="D6" s="18">
        <f>C6*(1+D5)</f>
        <v>52855563837.529205</v>
      </c>
      <c r="E6" s="18">
        <f>D6*(1+E5)</f>
        <v>63069263974.2186</v>
      </c>
      <c r="F6" s="18">
        <f>E6*(1+F5)</f>
        <v>73488197977.81406</v>
      </c>
      <c r="G6" s="18">
        <f>F6*(1+G5)</f>
        <v>83567738161.84616</v>
      </c>
      <c r="H6" s="18">
        <f>G6*(1+H5)</f>
        <v>92686563567.14165</v>
      </c>
      <c r="I6" s="18">
        <f>H6*(1+I5)</f>
        <v>100201526416.42076</v>
      </c>
      <c r="J6" s="18">
        <f>I6*(1+J5)</f>
        <v>105516180931.79611</v>
      </c>
      <c r="K6" s="18">
        <f>J6*(1+K5)</f>
        <v>108154085455.091</v>
      </c>
    </row>
    <row r="7" spans="1:11" x14ac:dyDescent="0.25">
      <c r="A7" t="s">
        <v>4</v>
      </c>
      <c r="B7" s="9">
        <f>Assumptions!B7</f>
        <v>0.22188023573906762</v>
      </c>
      <c r="C7" s="9">
        <f>Assumptions!B7</f>
        <v>0.22188023573906762</v>
      </c>
      <c r="D7" s="9">
        <f>Assumptions!B7</f>
        <v>0.22188023573906762</v>
      </c>
      <c r="E7" s="9">
        <f>Assumptions!B7</f>
        <v>0.22188023573906762</v>
      </c>
      <c r="F7" s="9">
        <f>Assumptions!B7</f>
        <v>0.22188023573906762</v>
      </c>
      <c r="G7" s="9">
        <f>Assumptions!B7</f>
        <v>0.22188023573906762</v>
      </c>
      <c r="H7" s="9">
        <f>Assumptions!B7</f>
        <v>0.22188023573906762</v>
      </c>
      <c r="I7" s="9">
        <f>Assumptions!B7</f>
        <v>0.22188023573906762</v>
      </c>
      <c r="J7" s="9">
        <f>Assumptions!B7</f>
        <v>0.22188023573906762</v>
      </c>
      <c r="K7" s="9">
        <f>Assumptions!B7</f>
        <v>0.22188023573906762</v>
      </c>
    </row>
    <row r="8" spans="1:11" x14ac:dyDescent="0.25">
      <c r="A8" t="s">
        <v>51</v>
      </c>
      <c r="B8" s="18">
        <f>B6*B7</f>
        <v>7686386220.484568</v>
      </c>
      <c r="C8" s="18">
        <f>C6*C7</f>
        <v>9602734894.507338</v>
      </c>
      <c r="D8" s="18">
        <f>D6*D7</f>
        <v>11727604964.392317</v>
      </c>
      <c r="E8" s="18">
        <f>E6*E7</f>
        <v>13993823158.489107</v>
      </c>
      <c r="F8" s="18">
        <f>F6*F7</f>
        <v>16305578691.356655</v>
      </c>
      <c r="G8" s="18">
        <f>G6*G7</f>
        <v>18542029443.531105</v>
      </c>
      <c r="H8" s="18">
        <f>H6*H7</f>
        <v>20565316574.121464</v>
      </c>
      <c r="I8" s="18">
        <f>I6*I7</f>
        <v>22232738302.68985</v>
      </c>
      <c r="J8" s="18">
        <f>J6*J7</f>
        <v>23411955099.433033</v>
      </c>
      <c r="K8" s="18">
        <f>K6*K7</f>
        <v>23997253976.918858</v>
      </c>
    </row>
    <row r="9" spans="1:11" x14ac:dyDescent="0.25">
      <c r="A9" t="s">
        <v>52</v>
      </c>
      <c r="B9" s="18">
        <f>B8*(1-Assumptions!B8)</f>
        <v>6072245114.182809</v>
      </c>
      <c r="C9" s="18">
        <f>C8*(1-Assumptions!B8)</f>
        <v>7586160566.660797</v>
      </c>
      <c r="D9" s="18">
        <f>D8*(1-Assumptions!B8)</f>
        <v>9264807921.86993</v>
      </c>
      <c r="E9" s="18">
        <f>E8*(1-Assumptions!B8)</f>
        <v>11055120295.206394</v>
      </c>
      <c r="F9" s="18">
        <f>F8*(1-Assumptions!B8)</f>
        <v>12881407166.171759</v>
      </c>
      <c r="G9" s="18">
        <f>G8*(1-Assumptions!B8)</f>
        <v>14648203260.389574</v>
      </c>
      <c r="H9" s="18">
        <f>H8*(1-Assumptions!B8)</f>
        <v>16246600093.555958</v>
      </c>
      <c r="I9" s="18">
        <f>I8*(1-Assumptions!B8)</f>
        <v>17563863259.12498</v>
      </c>
      <c r="J9" s="18">
        <f>J8*(1-Assumptions!B8)</f>
        <v>18495444528.552097</v>
      </c>
      <c r="K9" s="18">
        <f>K8*(1-Assumptions!B8)</f>
        <v>18957830641.7659</v>
      </c>
    </row>
    <row r="10" spans="1:11" x14ac:dyDescent="0.25">
      <c r="A10" t="s">
        <v>53</v>
      </c>
      <c r="B10" s="18">
        <f>B6*Assumptions!B9</f>
        <v>1221515737.1908824</v>
      </c>
      <c r="C10" s="18">
        <f>C6*Assumptions!B9</f>
        <v>1526060681.4750018</v>
      </c>
      <c r="D10" s="18">
        <f>D6*Assumptions!B9</f>
        <v>1863743716.8308237</v>
      </c>
      <c r="E10" s="18">
        <f>E6*Assumptions!B9</f>
        <v>2223889708.534974</v>
      </c>
      <c r="F10" s="18">
        <f>F6*Assumptions!B9</f>
        <v>2591272465.9106216</v>
      </c>
      <c r="G10" s="18">
        <f>G6*Assumptions!B9</f>
        <v>2946687834.182508</v>
      </c>
      <c r="H10" s="18">
        <f>H6*Assumptions!B9</f>
        <v>3268227371.7463784</v>
      </c>
      <c r="I10" s="18">
        <f>I6*Assumptions!B9</f>
        <v>3533213000.0449133</v>
      </c>
      <c r="J10" s="18">
        <f>J6*Assumptions!B9</f>
        <v>3720613402.97325</v>
      </c>
      <c r="K10" s="18">
        <f>K6*Assumptions!B9</f>
        <v>3813628738.0475807</v>
      </c>
    </row>
    <row r="11" spans="1:11" x14ac:dyDescent="0.25">
      <c r="A11" t="s">
        <v>54</v>
      </c>
      <c r="B11" s="18">
        <f>-B6*B19</f>
        <v>-1272772042.3201795</v>
      </c>
      <c r="C11" s="18">
        <f>-C6*C19</f>
        <v>-1712762491.0521529</v>
      </c>
      <c r="D11" s="18">
        <f>-D6*D19</f>
        <v>-2241568207.968906</v>
      </c>
      <c r="E11" s="18">
        <f>-E6*E19</f>
        <v>-2853482907.3983164</v>
      </c>
      <c r="F11" s="18">
        <f>-F6*F19</f>
        <v>-3533162688.4908915</v>
      </c>
      <c r="G11" s="18">
        <f>-G6*G19</f>
        <v>-4254624409.232284</v>
      </c>
      <c r="H11" s="18">
        <f>-H6*H19</f>
        <v>-4981588320.712789</v>
      </c>
      <c r="I11" s="18">
        <f>-I6*I19</f>
        <v>-5669495594.541047</v>
      </c>
      <c r="J11" s="18">
        <f>-J6*J19</f>
        <v>-6269270658.628835</v>
      </c>
      <c r="K11" s="18">
        <f>-K6*K19</f>
        <v>-6732546065.988712</v>
      </c>
    </row>
    <row r="12" spans="1:11" x14ac:dyDescent="0.25">
      <c r="A12" t="s">
        <v>55</v>
      </c>
      <c r="B12" s="18">
        <f>-(B6-Assumptions!B29)*Assumptions!B11</f>
        <v>-3084872104.7675037</v>
      </c>
      <c r="C12" s="18">
        <f>-(C6-B6)*Assumptions!B11</f>
        <v>-2307335488.195785</v>
      </c>
      <c r="D12" s="18">
        <f>-(D6-C6)*Assumptions!B11</f>
        <v>-2558400872.717392</v>
      </c>
      <c r="E12" s="18">
        <f>-(E6-D6)*Assumptions!B11</f>
        <v>-2728587826.4825387</v>
      </c>
      <c r="F12" s="18">
        <f>-(F6-E6)*Assumptions!B11</f>
        <v>-2783416010.5223484</v>
      </c>
      <c r="G12" s="18">
        <f>-(G6-F6)*Assumptions!B11</f>
        <v>-2692747023.568503</v>
      </c>
      <c r="H12" s="18">
        <f>-(H6-G6)*Assumptions!B11</f>
        <v>-2436092274.0751143</v>
      </c>
      <c r="I12" s="18">
        <f>-(I6-H6)*Assumptions!B11</f>
        <v>-2007620732.211742</v>
      </c>
      <c r="J12" s="18">
        <f>-(J6-I6)*Assumptions!B11</f>
        <v>-1419808827.2164676</v>
      </c>
      <c r="K12" s="18">
        <f>-(K6-J6)*Assumptions!B11</f>
        <v>-704715634.232307</v>
      </c>
    </row>
    <row r="13" spans="1:11" x14ac:dyDescent="0.25">
      <c r="A13" s="19" t="s">
        <v>56</v>
      </c>
      <c r="B13" s="20">
        <f>B9+B10+B11+B12</f>
        <v>2936116704.286009</v>
      </c>
      <c r="C13" s="20">
        <f>C9+C10+C11+C12</f>
        <v>5092123268.887861</v>
      </c>
      <c r="D13" s="20">
        <f>D9+D10+D11+D12</f>
        <v>6328582558.014456</v>
      </c>
      <c r="E13" s="20">
        <f>E9+E10+E11+E12</f>
        <v>7696939269.860514</v>
      </c>
      <c r="F13" s="20">
        <f>F9+F10+F11+F12</f>
        <v>9156100933.06914</v>
      </c>
      <c r="G13" s="20">
        <f>G9+G10+G11+G12</f>
        <v>10647519661.771296</v>
      </c>
      <c r="H13" s="20">
        <f>H9+H10+H11+H12</f>
        <v>12097146870.514435</v>
      </c>
      <c r="I13" s="20">
        <f>I9+I10+I11+I12</f>
        <v>13419959932.417107</v>
      </c>
      <c r="J13" s="20">
        <f>J9+J10+J11+J12</f>
        <v>14526978445.680048</v>
      </c>
      <c r="K13" s="20">
        <f>K9+K10+K11+K12</f>
        <v>15334197679.59246</v>
      </c>
    </row>
    <row r="14" spans="1:11" x14ac:dyDescent="0.25">
      <c r="A14" t="s">
        <v>57</v>
      </c>
      <c r="B14" s="21">
        <f>1/(1+Assumptions!$B$26)^(1-0.5*Assumptions!$B$32)</f>
        <v>0.9556508474127031</v>
      </c>
      <c r="C14" s="21">
        <f>1/(1+Assumptions!$B$26)^(2-0.5*Assumptions!$B$32)</f>
        <v>0.8727658562311582</v>
      </c>
      <c r="D14" s="21">
        <f>1/(1+Assumptions!$B$26)^(3-0.5*Assumptions!$B$32)</f>
        <v>0.797069601167793</v>
      </c>
      <c r="E14" s="21">
        <f>1/(1+Assumptions!$B$26)^(4-0.5*Assumptions!$B$32)</f>
        <v>0.7279385926590553</v>
      </c>
      <c r="F14" s="21">
        <f>1/(1+Assumptions!$B$26)^(5-0.5*Assumptions!$B$32)</f>
        <v>0.664803417300187</v>
      </c>
      <c r="G14" s="21">
        <f>1/(1+Assumptions!$B$26)^(6-0.5*Assumptions!$B$32)</f>
        <v>0.6071440477411385</v>
      </c>
      <c r="H14" s="21">
        <f>1/(1+Assumptions!$B$26)^(7-0.5*Assumptions!$B$32)</f>
        <v>0.554485559362046</v>
      </c>
      <c r="I14" s="21">
        <f>1/(1+Assumptions!$B$26)^(8-0.5*Assumptions!$B$32)</f>
        <v>0.5063942184476903</v>
      </c>
      <c r="J14" s="21">
        <f>1/(1+Assumptions!$B$26)^(9-0.5*Assumptions!$B$32)</f>
        <v>0.4624739096402875</v>
      </c>
      <c r="K14" s="21">
        <f>1/(1+Assumptions!$B$26)^(10-0.5*Assumptions!$B$32)</f>
        <v>0.4223628732445065</v>
      </c>
    </row>
    <row r="15" spans="1:11" x14ac:dyDescent="0.25">
      <c r="A15" s="19" t="s">
        <v>58</v>
      </c>
      <c r="B15" s="20">
        <f>B13*B14</f>
        <v>2805902416.5535173</v>
      </c>
      <c r="C15" s="20">
        <f>C13*C14</f>
        <v>4444231324.805518</v>
      </c>
      <c r="D15" s="20">
        <f>D13*D14</f>
        <v>5044320775.474033</v>
      </c>
      <c r="E15" s="20">
        <f>E13*E14</f>
        <v>5602899139.884479</v>
      </c>
      <c r="F15" s="20">
        <f>F13*F14</f>
        <v>6087007189.449795</v>
      </c>
      <c r="G15" s="20">
        <f>G13*G14</f>
        <v>6464578185.851182</v>
      </c>
      <c r="H15" s="20">
        <f>H13*H14</f>
        <v>6707693249.182021</v>
      </c>
      <c r="I15" s="20">
        <f>I13*I14</f>
        <v>6795790121.575679</v>
      </c>
      <c r="J15" s="20">
        <f>J13*J14</f>
        <v>6718348517.033839</v>
      </c>
      <c r="K15" s="20">
        <f>K13*K14</f>
        <v>6476595790.851916</v>
      </c>
    </row>
    <row r="17" spans="1:2" x14ac:dyDescent="0.25">
      <c r="A17" s="22" t="s">
        <v>59</v>
      </c>
      <c r="B17" s="23">
        <f>SUM(B15:K15)</f>
        <v>57147366710.66197</v>
      </c>
    </row>
    <row r="19" spans="1:11" x14ac:dyDescent="0.25">
      <c r="A19" t="s">
        <v>7</v>
      </c>
      <c r="B19" s="9">
        <f>Assumptions!$B$10+($B$20-Assumptions!$B$10)*0/9</f>
        <v>0.03674066755056873</v>
      </c>
      <c r="C19" s="9">
        <f>Assumptions!$B$10+($B$20-Assumptions!$B$10)*1/9</f>
        <v>0.03957499081819456</v>
      </c>
      <c r="D19" s="9">
        <f>Assumptions!$B$10+($B$20-Assumptions!$B$10)*2/9</f>
        <v>0.04240931408582039</v>
      </c>
      <c r="E19" s="9">
        <f>Assumptions!$B$10+($B$20-Assumptions!$B$10)*3/9</f>
        <v>0.04524363735344622</v>
      </c>
      <c r="F19" s="9">
        <f>Assumptions!$B$10+($B$20-Assumptions!$B$10)*4/9</f>
        <v>0.04807796062107206</v>
      </c>
      <c r="G19" s="9">
        <f>Assumptions!$B$10+($B$20-Assumptions!$B$10)*5/9</f>
        <v>0.05091228388869789</v>
      </c>
      <c r="H19" s="9">
        <f>Assumptions!$B$10+($B$20-Assumptions!$B$10)*6/9</f>
        <v>0.05374660715632372</v>
      </c>
      <c r="I19" s="9">
        <f>Assumptions!$B$10+($B$20-Assumptions!$B$10)*7/9</f>
        <v>0.05658093042394956</v>
      </c>
      <c r="J19" s="9">
        <f>Assumptions!$B$10+($B$20-Assumptions!$B$10)*8/9</f>
        <v>0.05941525369157538</v>
      </c>
      <c r="K19" s="9">
        <f>Assumptions!$B$10+($B$20-Assumptions!$B$10)*9/9</f>
        <v>0.06224957695920122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0.06224957695920122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15334197679.59246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18957830641.7659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0.15396895262427762</v>
      </c>
    </row>
    <row r="7" spans="1:2" x14ac:dyDescent="0.25">
      <c r="A7" t="s">
        <v>66</v>
      </c>
      <c r="B7" s="18">
        <f>-MAX(B5,0)*B6</f>
        <v>-2918917327.9411325</v>
      </c>
    </row>
    <row r="8" spans="1:2" x14ac:dyDescent="0.25">
      <c r="A8" t="s">
        <v>67</v>
      </c>
      <c r="B8" s="18">
        <f>IF(OR(Assumptions!$B$33=0,Assumptions!B12&lt;=0),B5,MAX(B5+B7,0))</f>
        <v>16038913313.824768</v>
      </c>
    </row>
    <row r="9" spans="1:2" x14ac:dyDescent="0.25">
      <c r="A9" t="s">
        <v>68</v>
      </c>
      <c r="B9" s="18">
        <f>B8*(1+Assumptions!B12)/(Assumptions!B26-Assumptions!B12)</f>
        <v>234962299495.37366</v>
      </c>
    </row>
    <row r="10" spans="1:2" x14ac:dyDescent="0.25">
      <c r="A10" t="s">
        <v>69</v>
      </c>
      <c r="B10" s="18">
        <f>B9/(1+Assumptions!B26)^(10-0.5*Assumptions!B32)</f>
        <v>99239351919.00227</v>
      </c>
    </row>
    <row r="11" spans="1:2" x14ac:dyDescent="0.25">
      <c r="A11" t="s">
        <v>70</v>
      </c>
      <c r="B11" s="18">
        <f>Forecast!B17+B10</f>
        <v>156386718629.66425</v>
      </c>
    </row>
    <row r="12" spans="1:2" x14ac:dyDescent="0.25">
      <c r="A12" t="s">
        <v>71</v>
      </c>
      <c r="B12" s="18">
        <f>-Assumptions!B30</f>
        <v>-4067800000</v>
      </c>
    </row>
    <row r="13" spans="1:2" x14ac:dyDescent="0.25">
      <c r="A13" t="s">
        <v>72</v>
      </c>
      <c r="B13" s="18">
        <f>B11+B12</f>
        <v>152318918629.66425</v>
      </c>
    </row>
    <row r="14" spans="1:2" x14ac:dyDescent="0.25">
      <c r="A14" s="19" t="s">
        <v>73</v>
      </c>
      <c r="B14" s="24">
        <f>B13/Assumptions!B31</f>
        <v>59.61601511924237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27810882714.96644</v>
      </c>
    </row>
    <row r="18" spans="1:2" x14ac:dyDescent="0.25">
      <c r="A18" t="s">
        <v>68</v>
      </c>
      <c r="B18" s="18">
        <f>B17*Assumptions!B13</f>
        <v>556217654299.3287</v>
      </c>
    </row>
    <row r="19" spans="1:2" x14ac:dyDescent="0.25">
      <c r="A19" t="s">
        <v>69</v>
      </c>
      <c r="B19" s="18">
        <f>B18/(1+Assumptions!B26)^(10-0.5*Assumptions!B32)</f>
        <v>234925686619.1841</v>
      </c>
    </row>
    <row r="20" spans="1:2" x14ac:dyDescent="0.25">
      <c r="A20" t="s">
        <v>70</v>
      </c>
      <c r="B20" s="18">
        <f>Forecast!B17+B19</f>
        <v>292073053329.84607</v>
      </c>
    </row>
    <row r="21" spans="1:2" x14ac:dyDescent="0.25">
      <c r="A21" t="s">
        <v>71</v>
      </c>
      <c r="B21" s="18">
        <f>-Assumptions!B30</f>
        <v>-4067800000</v>
      </c>
    </row>
    <row r="22" spans="1:2" x14ac:dyDescent="0.25">
      <c r="A22" t="s">
        <v>72</v>
      </c>
      <c r="B22" s="18">
        <f>B20+B21</f>
        <v>288005253329.84607</v>
      </c>
    </row>
    <row r="23" spans="1:2" x14ac:dyDescent="0.25">
      <c r="A23" s="19" t="s">
        <v>73</v>
      </c>
      <c r="B23" s="25">
        <f>B22/Assumptions!B31</f>
        <v>112.7222126535601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79.84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59.61601511924237</v>
      </c>
    </row>
    <row r="29" spans="1:2" x14ac:dyDescent="0.25">
      <c r="A29" s="19" t="s">
        <v>81</v>
      </c>
      <c r="B29" s="11">
        <f>B28/B26-1</f>
        <v>-0.2533064238571848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0.074968</v>
      </c>
      <c r="B5" s="31">
        <v>81.72539661971213</v>
      </c>
      <c r="C5" s="31">
        <v>84.53794865235567</v>
      </c>
      <c r="D5" s="31">
        <v>88.00634491969839</v>
      </c>
      <c r="E5" s="31">
        <v>92.3493557366418</v>
      </c>
      <c r="F5" s="31">
        <v>97.89522415372655</v>
      </c>
    </row>
    <row r="6" spans="1:6" x14ac:dyDescent="0.25">
      <c r="A6" s="30">
        <v>0.084968</v>
      </c>
      <c r="B6" s="31">
        <v>68.05485537689577</v>
      </c>
      <c r="C6" s="31">
        <v>69.56182905119111</v>
      </c>
      <c r="D6" s="31">
        <v>71.39318183398123</v>
      </c>
      <c r="E6" s="31">
        <v>73.63743225654656</v>
      </c>
      <c r="F6" s="31">
        <v>76.41852893793587</v>
      </c>
    </row>
    <row r="7" spans="1:6" x14ac:dyDescent="0.25">
      <c r="A7" s="30">
        <v>0.094968</v>
      </c>
      <c r="B7" s="31">
        <v>57.897903487404626</v>
      </c>
      <c r="C7" s="31">
        <v>58.672154390734335</v>
      </c>
      <c r="D7" s="32">
        <v>59.61620325776096</v>
      </c>
      <c r="E7" s="31">
        <v>60.76925353411092</v>
      </c>
      <c r="F7" s="31">
        <v>62.18358345383983</v>
      </c>
    </row>
    <row r="8" spans="1:6" x14ac:dyDescent="0.25">
      <c r="A8" s="30">
        <v>0.104968</v>
      </c>
      <c r="B8" s="31">
        <v>50.07665229668078</v>
      </c>
      <c r="C8" s="31">
        <v>50.42011600539951</v>
      </c>
      <c r="D8" s="31">
        <v>50.85542539981994</v>
      </c>
      <c r="E8" s="31">
        <v>51.40095745792637</v>
      </c>
      <c r="F8" s="31">
        <v>52.080342124197514</v>
      </c>
    </row>
    <row r="9" spans="1:6" x14ac:dyDescent="0.25">
      <c r="A9" s="30">
        <v>0.114968</v>
      </c>
      <c r="B9" s="31">
        <v>43.885011045604905</v>
      </c>
      <c r="C9" s="31">
        <v>43.96760229760276</v>
      </c>
      <c r="D9" s="31">
        <v>44.1004746070756</v>
      </c>
      <c r="E9" s="31">
        <v>44.29250444354286</v>
      </c>
      <c r="F9" s="31">
        <v>44.55478828190594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23094700000</v>
      </c>
      <c r="C5" s="18">
        <v>15222700000</v>
      </c>
      <c r="D5" s="18">
        <v>12554700000</v>
      </c>
      <c r="E5" s="18">
        <v>12623000000</v>
      </c>
      <c r="F5" s="6" t="s">
        <v>91</v>
      </c>
    </row>
    <row r="6" spans="1:6" x14ac:dyDescent="0.25">
      <c r="A6" t="s">
        <v>51</v>
      </c>
      <c r="B6" s="18">
        <v>5972000000</v>
      </c>
      <c r="C6" s="18">
        <v>3284300000</v>
      </c>
      <c r="D6" s="18">
        <v>2594200000</v>
      </c>
      <c r="E6" s="18">
        <v>2607300000</v>
      </c>
      <c r="F6" s="6" t="s">
        <v>92</v>
      </c>
    </row>
    <row r="7" spans="1:6" x14ac:dyDescent="0.25">
      <c r="A7" t="s">
        <v>93</v>
      </c>
      <c r="B7" s="18">
        <v>922400000</v>
      </c>
      <c r="C7" s="18">
        <v>572500000</v>
      </c>
      <c r="D7" s="18">
        <v>406400000</v>
      </c>
      <c r="E7" s="18">
        <v>392900000</v>
      </c>
      <c r="F7" s="6" t="s">
        <v>94</v>
      </c>
    </row>
    <row r="8" spans="1:6" x14ac:dyDescent="0.25">
      <c r="A8" t="s">
        <v>95</v>
      </c>
      <c r="B8" s="18">
        <v>996600000</v>
      </c>
      <c r="C8" s="18">
        <v>665400000</v>
      </c>
      <c r="D8" s="18">
        <v>372800000</v>
      </c>
      <c r="E8" s="18">
        <v>383800000</v>
      </c>
      <c r="F8" s="6" t="s">
        <v>96</v>
      </c>
    </row>
    <row r="9" spans="1:6" x14ac:dyDescent="0.25">
      <c r="A9" t="s">
        <v>97</v>
      </c>
      <c r="B9" s="18">
        <v>-77200000</v>
      </c>
      <c r="C9" s="18">
        <v>226100000</v>
      </c>
      <c r="D9" s="18">
        <v>-142000000</v>
      </c>
      <c r="E9" s="18">
        <v>219900000</v>
      </c>
      <c r="F9" s="6" t="s">
        <v>98</v>
      </c>
    </row>
    <row r="10" spans="1:6" x14ac:dyDescent="0.25">
      <c r="A10" t="s">
        <v>99</v>
      </c>
      <c r="B10" s="18">
        <v>15502000000</v>
      </c>
      <c r="C10" s="18">
        <v>6886100000</v>
      </c>
      <c r="D10" s="18">
        <v>4337300000</v>
      </c>
      <c r="E10" s="18">
        <v>4577700000</v>
      </c>
      <c r="F10" s="6" t="s">
        <v>100</v>
      </c>
    </row>
    <row r="11" spans="1:6" x14ac:dyDescent="0.25">
      <c r="A11" t="s">
        <v>101</v>
      </c>
      <c r="B11" s="18">
        <v>11434200000</v>
      </c>
      <c r="C11" s="18">
        <v>3335400000</v>
      </c>
      <c r="D11" s="18">
        <v>1660200000</v>
      </c>
      <c r="E11" s="18">
        <v>1434200000</v>
      </c>
      <c r="F11" s="6" t="s">
        <v>102</v>
      </c>
    </row>
    <row r="12" spans="1:6" x14ac:dyDescent="0.25">
      <c r="A12" t="s">
        <v>34</v>
      </c>
      <c r="B12" s="34">
        <v>2555000000</v>
      </c>
      <c r="C12" s="34">
        <v>2527200000</v>
      </c>
      <c r="D12" s="34">
        <v>2482400000</v>
      </c>
      <c r="E12" s="34">
        <v>2484000000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