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<sst xmlns="http://schemas.openxmlformats.org/spreadsheetml/2006/main" count="112" uniqueCount="100">
  <si>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Amphenol Corporation (APH)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</si>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</sst>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0.2230660589034148</v>
      </c>
    </row>
    <row r="7" spans="1:2" x14ac:dyDescent="0.25">
      <c r="A7" t="s">
        <v>5</v>
      </c>
      <c r="B7" s="6">
        <v>0.22188023573906762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0.035261069630431296</v>
      </c>
    </row>
    <row r="10" spans="1:2" x14ac:dyDescent="0.25">
      <c r="A10" t="s">
        <v>8</v>
      </c>
      <c r="B10" s="6">
        <v>0.03674066755056873</v>
      </c>
    </row>
    <row r="11" spans="1:2" x14ac:dyDescent="0.25">
      <c r="A11" t="s">
        <v>9</v>
      </c>
      <c r="B11" s="6">
        <v>0.08474512743628186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0.16237039723850166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1.16214</v>
      </c>
      <c r="C19" s="8" t="s">
        <v>19</v>
      </c>
    </row>
    <row r="20" spans="1:2" x14ac:dyDescent="0.25">
      <c r="A20" t="s">
        <v>20</v>
      </c>
      <c r="B20" s="10">
        <f>B17+B19*B18</f>
        <v>0.11389769999999999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191235735552</v>
      </c>
    </row>
    <row r="23" spans="1:2" x14ac:dyDescent="0.25">
      <c r="A23" t="s">
        <v>24</v>
      </c>
      <c r="B23" s="11">
        <v>15502000000</v>
      </c>
    </row>
    <row r="24" spans="1:2" x14ac:dyDescent="0.25">
      <c r="A24" t="s">
        <v>25</v>
      </c>
      <c r="B24" s="10">
        <f>B22/(B22+B23)</f>
        <v>0.9250161081690825</v>
      </c>
    </row>
    <row r="25" spans="1:2" x14ac:dyDescent="0.25">
      <c r="A25" t="s">
        <v>26</v>
      </c>
      <c r="B25" s="10">
        <f>1-B24</f>
        <v>0.07498389183091747</v>
      </c>
    </row>
    <row r="26" spans="1:2" x14ac:dyDescent="0.25">
      <c r="A26" t="s">
        <v>27</v>
      </c>
      <c r="B26" s="12">
        <f>B24*B20+B25*B21*(1-B8)</f>
        <v>0.10831788616524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23094700000</v>
      </c>
      <c r="C29" s="8" t="s">
        <v>30</v>
      </c>
    </row>
    <row r="30" spans="1:2" x14ac:dyDescent="0.25">
      <c r="A30" t="s">
        <v>31</v>
      </c>
      <c r="B30" s="11">
        <v>4067800000</v>
      </c>
    </row>
    <row r="31" spans="1:2" x14ac:dyDescent="0.25">
      <c r="A31" t="s">
        <v>32</v>
      </c>
      <c r="B31" s="13">
        <v>1277500000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0.2230660589034148</v>
      </c>
      <c r="C5" s="10">
        <f>Assumptions!B6</f>
        <v>0.2230660589034148</v>
      </c>
      <c r="D5" s="10">
        <f>Assumptions!B6</f>
        <v>0.2230660589034148</v>
      </c>
      <c r="E5" s="10">
        <f>Assumptions!B6</f>
        <v>0.2230660589034148</v>
      </c>
      <c r="F5" s="10">
        <f>Assumptions!B6</f>
        <v>0.2230660589034148</v>
      </c>
    </row>
    <row r="6" spans="1:6" x14ac:dyDescent="0.25">
      <c r="A6" t="s">
        <v>43</v>
      </c>
      <c r="B6" s="18">
        <f>Assumptions!B29*(1+B5)</f>
        <v>28246343710.556694</v>
      </c>
      <c r="C6" s="18">
        <f>B6*(1+C5)</f>
        <v>34547144280.50183</v>
      </c>
      <c r="D6" s="18">
        <f>C6*(1+D5)</f>
        <v>42253439601.52102</v>
      </c>
      <c r="E6" s="18">
        <f>D6*(1+E5)</f>
        <v>51678747848.545784</v>
      </c>
      <c r="F6" s="18">
        <f>E6*(1+F5)</f>
        <v>63206522460.18422</v>
      </c>
    </row>
    <row r="7" spans="1:6" x14ac:dyDescent="0.25">
      <c r="A7" t="s">
        <v>5</v>
      </c>
      <c r="B7" s="10">
        <f>Assumptions!B7</f>
        <v>0.22188023573906762</v>
      </c>
      <c r="C7" s="10">
        <f>Assumptions!B7</f>
        <v>0.22188023573906762</v>
      </c>
      <c r="D7" s="10">
        <f>Assumptions!B7</f>
        <v>0.22188023573906762</v>
      </c>
      <c r="E7" s="10">
        <f>Assumptions!B7</f>
        <v>0.22188023573906762</v>
      </c>
      <c r="F7" s="10">
        <f>Assumptions!B7</f>
        <v>0.22188023573906762</v>
      </c>
    </row>
    <row r="8" spans="1:6" x14ac:dyDescent="0.25">
      <c r="A8" t="s">
        <v>44</v>
      </c>
      <c r="B8" s="18">
        <f>B6*B7</f>
        <v>6267305401.265049</v>
      </c>
      <c r="C8" s="18">
        <f>C6*C7</f>
        <v>7665328517.069328</v>
      </c>
      <c r="D8" s="18">
        <f>D6*D7</f>
        <v>9375203139.57194</v>
      </c>
      <c r="E8" s="18">
        <f>E6*E7</f>
        <v>11466492755.335173</v>
      </c>
      <c r="F8" s="18">
        <f>F6*F7</f>
        <v>14024278103.712347</v>
      </c>
    </row>
    <row r="9" spans="1:6" x14ac:dyDescent="0.25">
      <c r="A9" t="s">
        <v>45</v>
      </c>
      <c r="B9" s="18">
        <f>B8*(1-Assumptions!B8)</f>
        <v>4951171266.999389</v>
      </c>
      <c r="C9" s="18">
        <f>C8*(1-Assumptions!B8)</f>
        <v>6055609528.48477</v>
      </c>
      <c r="D9" s="18">
        <f>D8*(1-Assumptions!B8)</f>
        <v>7406410480.261832</v>
      </c>
      <c r="E9" s="18">
        <f>E8*(1-Assumptions!B8)</f>
        <v>9058529276.714787</v>
      </c>
      <c r="F9" s="18">
        <f>F8*(1-Assumptions!B8)</f>
        <v>11079179701.932755</v>
      </c>
    </row>
    <row r="10" spans="1:6" x14ac:dyDescent="0.25">
      <c r="A10" t="s">
        <v>46</v>
      </c>
      <c r="B10" s="18">
        <f>B6*Assumptions!B9</f>
        <v>995996292.3830347</v>
      </c>
      <c r="C10" s="18">
        <f>C6*Assumptions!B9</f>
        <v>1218169260.0073314</v>
      </c>
      <c r="D10" s="18">
        <f>D6*Assumptions!B9</f>
        <v>1489901475.914456</v>
      </c>
      <c r="E10" s="18">
        <f>E6*Assumptions!B9</f>
        <v>1822247926.3010745</v>
      </c>
      <c r="F10" s="18">
        <f>F6*Assumptions!B9</f>
        <v>2228729589.565975</v>
      </c>
    </row>
    <row r="11" spans="1:6" x14ac:dyDescent="0.25">
      <c r="A11" t="s">
        <v>47</v>
      </c>
      <c r="B11" s="18">
        <f>-B6*Assumptions!B10</f>
        <v>-1037789523.7886614</v>
      </c>
      <c r="C11" s="18">
        <f>-C6*Assumptions!B10</f>
        <v>-1269285142.8314495</v>
      </c>
      <c r="D11" s="18">
        <f>-D6*Assumptions!B10</f>
        <v>-1552419577.267519</v>
      </c>
      <c r="E11" s="18">
        <f>-E6*Assumptions!B10</f>
        <v>-1898711694.1330895</v>
      </c>
      <c r="F11" s="18">
        <f>-F6*Assumptions!B10</f>
        <v>-2322249828.7371836</v>
      </c>
    </row>
    <row r="12" spans="1:6" x14ac:dyDescent="0.25">
      <c r="A12" t="s">
        <v>48</v>
      </c>
      <c r="B12" s="18">
        <f>-(B6-Assumptions!B29)*Assumptions!B11</f>
        <v>-436576702.757447</v>
      </c>
      <c r="C12" s="18">
        <f>-(C6-B6)*Assumptions!B11</f>
        <v>-533962147.250598</v>
      </c>
      <c r="D12" s="18">
        <f>-(D6-C6)*Assumptions!B11</f>
        <v>-653070979.0413938</v>
      </c>
      <c r="E12" s="18">
        <f>-(E6-D6)*Assumptions!B11</f>
        <v>-798748948.5203521</v>
      </c>
      <c r="F12" s="18">
        <f>-(F6-E6)*Assumptions!B11</f>
        <v>-976922728.5200338</v>
      </c>
    </row>
    <row r="13" spans="1:6" x14ac:dyDescent="0.25">
      <c r="A13" s="19" t="s">
        <v>49</v>
      </c>
      <c r="B13" s="20">
        <f>B9+B10+B11+B12</f>
        <v>4472801332.836315</v>
      </c>
      <c r="C13" s="20">
        <f>C9+C10+C11+C12</f>
        <v>5470531498.410054</v>
      </c>
      <c r="D13" s="20">
        <f>D9+D10+D11+D12</f>
        <v>6690821399.867376</v>
      </c>
      <c r="E13" s="20">
        <f>E9+E10+E11+E12</f>
        <v>8183316560.36242</v>
      </c>
      <c r="F13" s="20">
        <f>F9+F10+F11+F12</f>
        <v>10008736734.241512</v>
      </c>
    </row>
    <row r="14" spans="1:6" x14ac:dyDescent="0.25">
      <c r="A14" t="s">
        <v>50</v>
      </c>
      <c r="B14" s="21">
        <f>1/(1+Assumptions!$B$26)^(1-0.5*Assumptions!$B$32)</f>
        <v>0.9498779996797394</v>
      </c>
      <c r="C14" s="21">
        <f>1/(1+Assumptions!$B$26)^(2-0.5*Assumptions!$B$32)</f>
        <v>0.8570447265507012</v>
      </c>
      <c r="D14" s="21">
        <f>1/(1+Assumptions!$B$26)^(3-0.5*Assumptions!$B$32)</f>
        <v>0.7732842149792065</v>
      </c>
      <c r="E14" s="21">
        <f>1/(1+Assumptions!$B$26)^(4-0.5*Assumptions!$B$32)</f>
        <v>0.6977097677767846</v>
      </c>
      <c r="F14" s="21">
        <f>1/(1+Assumptions!$B$26)^(5-0.5*Assumptions!$B$32)</f>
        <v>0.6295213462545912</v>
      </c>
    </row>
    <row r="15" spans="1:6" x14ac:dyDescent="0.25">
      <c r="A15" s="19" t="s">
        <v>51</v>
      </c>
      <c r="B15" s="20">
        <f>B13*B14</f>
        <v>4248615582.999431</v>
      </c>
      <c r="C15" s="20">
        <f>C13*C14</f>
        <v>4688490172.141843</v>
      </c>
      <c r="D15" s="20">
        <f>D13*D14</f>
        <v>5173906573.76252</v>
      </c>
      <c r="E15" s="20">
        <f>E13*E14</f>
        <v>5709579896.97438</v>
      </c>
      <c r="F15" s="20">
        <f>F13*F14</f>
        <v>6300713423.247498</v>
      </c>
    </row>
    <row r="17" spans="1:2" x14ac:dyDescent="0.25">
      <c r="A17" s="22" t="s">
        <v>52</v>
      </c>
      <c r="B17" s="23">
        <f>SUM(B15:F15)</f>
        <v>26121305649.12567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10008736734.241512</v>
      </c>
    </row>
    <row r="5" spans="1:2" x14ac:dyDescent="0.25">
      <c r="A5" t="s">
        <v>56</v>
      </c>
      <c r="B5" s="18">
        <f>IF(Assumptions!$B$33=0,B4,B4-Forecast!F11-Forecast!F10-Forecast!F12)</f>
        <v>11079179701.932755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0.15396895262427762</v>
      </c>
    </row>
    <row r="7" spans="1:2" x14ac:dyDescent="0.25">
      <c r="A7" t="s">
        <v>58</v>
      </c>
      <c r="B7" s="18">
        <f>-MAX(Forecast!F9,0)*B6</f>
        <v>-1705849694.6427426</v>
      </c>
    </row>
    <row r="8" spans="1:2" x14ac:dyDescent="0.25">
      <c r="A8" t="s">
        <v>59</v>
      </c>
      <c r="B8" s="18">
        <f>IF(OR(Assumptions!$B$33=0,Assumptions!B12&lt;=0),B5,MAX(B5+B7,0))</f>
        <v>9373330007.290012</v>
      </c>
    </row>
    <row r="9" spans="1:2" x14ac:dyDescent="0.25">
      <c r="A9" t="s">
        <v>60</v>
      </c>
      <c r="B9" s="18">
        <f>B8*(1+Assumptions!B12)/(Assumptions!B26-Assumptions!B12)</f>
        <v>115313334263.16034</v>
      </c>
    </row>
    <row r="10" spans="1:2" x14ac:dyDescent="0.25">
      <c r="A10" t="s">
        <v>61</v>
      </c>
      <c r="B10" s="18">
        <f>B9/(1+Assumptions!B26)^(5-0.5*Assumptions!B32)</f>
        <v>72592205426.45038</v>
      </c>
    </row>
    <row r="11" spans="1:2" x14ac:dyDescent="0.25">
      <c r="A11" t="s">
        <v>62</v>
      </c>
      <c r="B11" s="18">
        <f>Forecast!B17+B10</f>
        <v>98713511075.57605</v>
      </c>
    </row>
    <row r="12" spans="1:2" x14ac:dyDescent="0.25">
      <c r="A12" t="s">
        <v>63</v>
      </c>
      <c r="B12" s="18">
        <f>-Assumptions!B30</f>
        <v>-4067800000</v>
      </c>
    </row>
    <row r="13" spans="1:2" x14ac:dyDescent="0.25">
      <c r="A13" t="s">
        <v>64</v>
      </c>
      <c r="B13" s="18">
        <f>B11+B12</f>
        <v>94645711075.57605</v>
      </c>
    </row>
    <row r="14" spans="1:2" x14ac:dyDescent="0.25">
      <c r="A14" s="19" t="s">
        <v>65</v>
      </c>
      <c r="B14" s="24">
        <f>B13/Assumptions!B31</f>
        <v>74.0866622900791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16253007693.278322</v>
      </c>
    </row>
    <row r="18" spans="1:2" x14ac:dyDescent="0.25">
      <c r="A18" t="s">
        <v>60</v>
      </c>
      <c r="B18" s="18">
        <f>B17*Assumptions!B13</f>
        <v>325060153865.56647</v>
      </c>
    </row>
    <row r="19" spans="1:2" x14ac:dyDescent="0.25">
      <c r="A19" t="s">
        <v>61</v>
      </c>
      <c r="B19" s="18">
        <f>B18/(1+Assumptions!B26)^(5-0.5*Assumptions!B32)</f>
        <v>204632305675.17596</v>
      </c>
    </row>
    <row r="20" spans="1:2" x14ac:dyDescent="0.25">
      <c r="A20" t="s">
        <v>62</v>
      </c>
      <c r="B20" s="18">
        <f>Forecast!B17+B19</f>
        <v>230753611324.30164</v>
      </c>
    </row>
    <row r="21" spans="1:2" x14ac:dyDescent="0.25">
      <c r="A21" t="s">
        <v>63</v>
      </c>
      <c r="B21" s="18">
        <f>-Assumptions!B30</f>
        <v>-4067800000</v>
      </c>
    </row>
    <row r="22" spans="1:2" x14ac:dyDescent="0.25">
      <c r="A22" t="s">
        <v>64</v>
      </c>
      <c r="B22" s="18">
        <f>B20+B21</f>
        <v>226685811324.30164</v>
      </c>
    </row>
    <row r="23" spans="1:2" x14ac:dyDescent="0.25">
      <c r="A23" s="19" t="s">
        <v>65</v>
      </c>
      <c r="B23" s="25">
        <f>B22/Assumptions!B31</f>
        <v>177.4448620933868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77.55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74.0866622900791</v>
      </c>
    </row>
    <row r="29" spans="1:2" x14ac:dyDescent="0.25">
      <c r="A29" s="19" t="s">
        <v>73</v>
      </c>
      <c r="B29" s="12">
        <f>B28/B26-1</f>
        <v>-0.044659415988663964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0.088318</v>
      </c>
      <c r="B5" s="31">
        <v>92.75581628546291</v>
      </c>
      <c r="C5" s="31">
        <v>95.8743058510506</v>
      </c>
      <c r="D5" s="31">
        <v>99.45648857332145</v>
      </c>
      <c r="E5" s="31">
        <v>103.6216311855354</v>
      </c>
      <c r="F5" s="31">
        <v>108.53373830806727</v>
      </c>
    </row>
    <row r="6" spans="1:6" x14ac:dyDescent="0.25">
      <c r="A6" s="30">
        <v>0.098318</v>
      </c>
      <c r="B6" s="31">
        <v>80.64885248382456</v>
      </c>
      <c r="C6" s="31">
        <v>82.7119474870657</v>
      </c>
      <c r="D6" s="31">
        <v>85.03254759857683</v>
      </c>
      <c r="E6" s="31">
        <v>87.66719101654952</v>
      </c>
      <c r="F6" s="31">
        <v>90.69027443066004</v>
      </c>
    </row>
    <row r="7" spans="1:6" x14ac:dyDescent="0.25">
      <c r="A7" s="30">
        <v>0.108318</v>
      </c>
      <c r="B7" s="31">
        <v>71.15956403928614</v>
      </c>
      <c r="C7" s="31">
        <v>72.54972259347548</v>
      </c>
      <c r="D7" s="32">
        <v>74.08655272792329</v>
      </c>
      <c r="E7" s="31">
        <v>75.79814598868386</v>
      </c>
      <c r="F7" s="31">
        <v>77.72025685480307</v>
      </c>
    </row>
    <row r="8" spans="1:6" x14ac:dyDescent="0.25">
      <c r="A8" s="30">
        <v>0.118318</v>
      </c>
      <c r="B8" s="31">
        <v>63.52693595464837</v>
      </c>
      <c r="C8" s="31">
        <v>64.4714504174185</v>
      </c>
      <c r="D8" s="31">
        <v>65.49987731910885</v>
      </c>
      <c r="E8" s="31">
        <v>66.62646841569001</v>
      </c>
      <c r="F8" s="31">
        <v>67.86889651403875</v>
      </c>
    </row>
    <row r="9" spans="1:6" x14ac:dyDescent="0.25">
      <c r="A9" s="30">
        <v>0.128318</v>
      </c>
      <c r="B9" s="31">
        <v>57.25862879532703</v>
      </c>
      <c r="C9" s="31">
        <v>57.89931423935466</v>
      </c>
      <c r="D9" s="31">
        <v>58.58699685351048</v>
      </c>
      <c r="E9" s="31">
        <v>59.32884681570622</v>
      </c>
      <c r="F9" s="31">
        <v>60.13357102300994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23094700000</v>
      </c>
      <c r="C5" s="18">
        <v>15222700000</v>
      </c>
      <c r="D5" s="18">
        <v>12554700000</v>
      </c>
      <c r="E5" s="18">
        <v>12623000000</v>
      </c>
      <c r="F5" s="8" t="s">
        <v>84</v>
      </c>
    </row>
    <row r="6" spans="1:6" x14ac:dyDescent="0.25">
      <c r="A6" t="s">
        <v>44</v>
      </c>
      <c r="B6" s="18">
        <v>5972000000</v>
      </c>
      <c r="C6" s="18">
        <v>3284300000</v>
      </c>
      <c r="D6" s="18">
        <v>2594200000</v>
      </c>
      <c r="E6" s="18">
        <v>2607300000</v>
      </c>
      <c r="F6" s="8" t="s">
        <v>85</v>
      </c>
    </row>
    <row r="7" spans="1:6" x14ac:dyDescent="0.25">
      <c r="A7" t="s">
        <v>86</v>
      </c>
      <c r="B7" s="18">
        <v>922400000</v>
      </c>
      <c r="C7" s="18">
        <v>572500000</v>
      </c>
      <c r="D7" s="18">
        <v>406400000</v>
      </c>
      <c r="E7" s="18">
        <v>392900000</v>
      </c>
      <c r="F7" s="8" t="s">
        <v>87</v>
      </c>
    </row>
    <row r="8" spans="1:6" x14ac:dyDescent="0.25">
      <c r="A8" t="s">
        <v>88</v>
      </c>
      <c r="B8" s="18">
        <v>996600000</v>
      </c>
      <c r="C8" s="18">
        <v>665400000</v>
      </c>
      <c r="D8" s="18">
        <v>372800000</v>
      </c>
      <c r="E8" s="18">
        <v>383800000</v>
      </c>
      <c r="F8" s="8" t="s">
        <v>89</v>
      </c>
    </row>
    <row r="9" spans="1:6" x14ac:dyDescent="0.25">
      <c r="A9" t="s">
        <v>90</v>
      </c>
      <c r="B9" s="18">
        <v>-77200000</v>
      </c>
      <c r="C9" s="18">
        <v>226100000</v>
      </c>
      <c r="D9" s="18">
        <v>-142000000</v>
      </c>
      <c r="E9" s="18">
        <v>219900000</v>
      </c>
      <c r="F9" s="8" t="s">
        <v>91</v>
      </c>
    </row>
    <row r="10" spans="1:6" x14ac:dyDescent="0.25">
      <c r="A10" t="s">
        <v>92</v>
      </c>
      <c r="B10" s="18">
        <v>15502000000</v>
      </c>
      <c r="C10" s="18">
        <v>6886100000</v>
      </c>
      <c r="D10" s="18">
        <v>4337300000</v>
      </c>
      <c r="E10" s="18">
        <v>4577700000</v>
      </c>
      <c r="F10" s="8" t="s">
        <v>93</v>
      </c>
    </row>
    <row r="11" spans="1:6" x14ac:dyDescent="0.25">
      <c r="A11" t="s">
        <v>94</v>
      </c>
      <c r="B11" s="18">
        <v>11434200000</v>
      </c>
      <c r="C11" s="18">
        <v>3335400000</v>
      </c>
      <c r="D11" s="18">
        <v>1660200000</v>
      </c>
      <c r="E11" s="18">
        <v>1434200000</v>
      </c>
      <c r="F11" s="8" t="s">
        <v>95</v>
      </c>
    </row>
    <row r="12" spans="1:6" x14ac:dyDescent="0.25">
      <c r="A12" t="s">
        <v>32</v>
      </c>
      <c r="B12" s="34">
        <v>1277500000</v>
      </c>
      <c r="C12" s="34">
        <v>1263600000</v>
      </c>
      <c r="D12" s="34">
        <v>1241200000</v>
      </c>
      <c r="E12" s="34">
        <v>1242000000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