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<sst xmlns="http://schemas.openxmlformats.org/spreadsheetml/2006/main" count="114" uniqueCount="102">
  <si>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Apollo Global Management, Inc. (APO)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</si>
  <si>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</si>
  <si>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</si>
  <si>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</si>
  <si>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</si>
  <si>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</si>
  <si>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</si>
  <si>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</si>
  <si>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</si>
  <si>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</si>
  <si>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</si>
  <si>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</si>
  <si>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</si>
  <si>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</si>
  <si>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</si>
  <si>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</si>
  <si>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</si>
  <si>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</si>
  <si>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</si>
  <si>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</si>
  <si>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</si>
  <si>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</si>
  <si>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</si>
  <si>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</si>
  <si>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</si>
  <si>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</si>
  <si>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</si>
  <si>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</si>
  <si>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</si>
  <si>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</si>
  <si>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</si>
  <si>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</si>
  <si>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</si>
  <si>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</si>
  <si>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</si>
  <si>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</si>
  <si>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</si>
  <si>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</si>
  <si>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</si>
  <si>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</si>
  <si>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</si>
  <si>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</si>
  <si>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</si>
  <si>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</si>
  <si>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</si>
  <si>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</si>
  <si>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</si>
  <si>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</si>
  <si>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</si>
  <si>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</si>
  <si>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</si>
  <si>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</si>
  <si>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</si>
  <si>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</si>
  <si>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</si>
  <si>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</si>
  <si>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</si>
  <si>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</si>
  <si>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</si>
  <si>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</si>
  <si>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</si>
  <si>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</si>
  <si>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</si>
  <si>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</si>
  <si>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</si>
  <si>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</si>
  <si>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</si>
  <si>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</si>
  <si>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</si>
  <si>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</si>
  <si>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</si>
  <si>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</si>
  <si>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</si>
  <si>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</si>
  <si>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</si>
  <si>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</si>
  <si>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</si>
  <si>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</si>
  <si>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</si>
  <si>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</si>
  <si>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</si>
  <si>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</si>
  <si>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</si>
  <si>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</si>
  <si>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</si>
  <si>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</si>
  <si>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</si>
  <si>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</si>
  <si>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</si>
  <si>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derived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</si>
  <si>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</si>
  <si>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</si>
  <si>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</si>
  <si>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</si>
  <si>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</si>
  <si>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</si>
  <si>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</si>
  <si>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</si>
  <si>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</si>
  <si>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0.46% of revenue, which is too low to be the company's real investment - property trusts and similar structures invest through lines that are not reported as capex. Capex has been set to 3.97%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</si>
  <si>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 usable EV/EBITDA (EBITDA is not positive), so the exit multiple falls back to 8x.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</si>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</sst>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0.42964764687572576</v>
      </c>
    </row>
    <row r="7" spans="1:2" x14ac:dyDescent="0.25">
      <c r="A7" t="s">
        <v>5</v>
      </c>
      <c r="B7" s="6">
        <v>0.09121316261187137</v>
      </c>
    </row>
    <row r="8" spans="1:2" x14ac:dyDescent="0.25">
      <c r="A8" t="s">
        <v>6</v>
      </c>
      <c r="B8" s="6">
        <v>0.166970858921194</v>
      </c>
    </row>
    <row r="9" spans="1:2" x14ac:dyDescent="0.25">
      <c r="A9" t="s">
        <v>7</v>
      </c>
      <c r="B9" s="6">
        <v>0.039661489150785184</v>
      </c>
    </row>
    <row r="10" spans="1:2" x14ac:dyDescent="0.25">
      <c r="A10" t="s">
        <v>8</v>
      </c>
      <c r="B10" s="6">
        <v>0.039661489150785184</v>
      </c>
    </row>
    <row r="11" spans="1:2" x14ac:dyDescent="0.25">
      <c r="A11" t="s">
        <v>9</v>
      </c>
      <c r="B11" s="6">
        <v>-0.15847019745340468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8</v>
      </c>
    </row>
    <row r="14" spans="1:3" x14ac:dyDescent="0.25">
      <c r="A14" t="s">
        <v>12</v>
      </c>
      <c r="B14" s="6">
        <v>0.24687998365658897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1.3443800000000001</v>
      </c>
      <c r="C19" s="8" t="s">
        <v>19</v>
      </c>
    </row>
    <row r="20" spans="1:2" x14ac:dyDescent="0.25">
      <c r="A20" t="s">
        <v>20</v>
      </c>
      <c r="B20" s="10">
        <f>B17+B19*B18</f>
        <v>0.1239209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74355294208</v>
      </c>
    </row>
    <row r="23" spans="1:2" x14ac:dyDescent="0.25">
      <c r="A23" t="s">
        <v>24</v>
      </c>
      <c r="B23" s="11">
        <v>13364000000</v>
      </c>
    </row>
    <row r="24" spans="1:2" x14ac:dyDescent="0.25">
      <c r="A24" t="s">
        <v>25</v>
      </c>
      <c r="B24" s="10">
        <f>B22/(B22+B23)</f>
        <v>0.8476503929875304</v>
      </c>
    </row>
    <row r="25" spans="1:2" x14ac:dyDescent="0.25">
      <c r="A25" t="s">
        <v>26</v>
      </c>
      <c r="B25" s="10">
        <f>1-B24</f>
        <v>0.15234960701246958</v>
      </c>
    </row>
    <row r="26" spans="1:2" x14ac:dyDescent="0.25">
      <c r="A26" t="s">
        <v>27</v>
      </c>
      <c r="B26" s="12">
        <f>B24*B20+B25*B21*(1-B8)</f>
        <v>0.11138464446478755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32049000000</v>
      </c>
      <c r="C29" s="8" t="s">
        <v>30</v>
      </c>
    </row>
    <row r="30" spans="1:2" x14ac:dyDescent="0.25">
      <c r="A30" t="s">
        <v>31</v>
      </c>
      <c r="B30" s="11">
        <v>-234696000000</v>
      </c>
    </row>
    <row r="31" spans="1:2" x14ac:dyDescent="0.25">
      <c r="A31" t="s">
        <v>32</v>
      </c>
      <c r="B31" s="13">
        <v>593657223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0.42964764687572576</v>
      </c>
      <c r="C5" s="10">
        <f>Assumptions!B6</f>
        <v>0.42964764687572576</v>
      </c>
      <c r="D5" s="10">
        <f>Assumptions!B6</f>
        <v>0.42964764687572576</v>
      </c>
      <c r="E5" s="10">
        <f>Assumptions!B6</f>
        <v>0.42964764687572576</v>
      </c>
      <c r="F5" s="10">
        <f>Assumptions!B6</f>
        <v>0.42964764687572576</v>
      </c>
    </row>
    <row r="6" spans="1:6" x14ac:dyDescent="0.25">
      <c r="A6" t="s">
        <v>43</v>
      </c>
      <c r="B6" s="18">
        <f>Assumptions!B29*(1+B5)</f>
        <v>45818777434.72014</v>
      </c>
      <c r="C6" s="18">
        <f>B6*(1+C5)</f>
        <v>65504707342.27025</v>
      </c>
      <c r="D6" s="18">
        <f>C6*(1+D5)</f>
        <v>93648650711.15974</v>
      </c>
      <c r="E6" s="18">
        <f>D6*(1+E5)</f>
        <v>133884573122.2963</v>
      </c>
      <c r="F6" s="18">
        <f>E6*(1+F5)</f>
        <v>191407764917.25195</v>
      </c>
    </row>
    <row r="7" spans="1:6" x14ac:dyDescent="0.25">
      <c r="A7" t="s">
        <v>5</v>
      </c>
      <c r="B7" s="10">
        <f>Assumptions!B7</f>
        <v>0.09121316261187137</v>
      </c>
      <c r="C7" s="10">
        <f>Assumptions!B7</f>
        <v>0.09121316261187137</v>
      </c>
      <c r="D7" s="10">
        <f>Assumptions!B7</f>
        <v>0.09121316261187137</v>
      </c>
      <c r="E7" s="10">
        <f>Assumptions!B7</f>
        <v>0.09121316261187137</v>
      </c>
      <c r="F7" s="10">
        <f>Assumptions!B7</f>
        <v>0.09121316261187137</v>
      </c>
    </row>
    <row r="8" spans="1:6" x14ac:dyDescent="0.25">
      <c r="A8" t="s">
        <v>44</v>
      </c>
      <c r="B8" s="18">
        <f>B6*B7</f>
        <v>4179275596.830271</v>
      </c>
      <c r="C8" s="18">
        <f>C6*C7</f>
        <v>5974891522.653541</v>
      </c>
      <c r="D8" s="18">
        <f>D6*D7</f>
        <v>8541989605.699357</v>
      </c>
      <c r="E8" s="18">
        <f>E6*E7</f>
        <v>12212035339.424995</v>
      </c>
      <c r="F8" s="18">
        <f>F6*F7</f>
        <v>17458907586.57215</v>
      </c>
    </row>
    <row r="9" spans="1:6" x14ac:dyDescent="0.25">
      <c r="A9" t="s">
        <v>45</v>
      </c>
      <c r="B9" s="18">
        <f>B8*(1-Assumptions!B8)</f>
        <v>3481458360.759135</v>
      </c>
      <c r="C9" s="18">
        <f>C8*(1-Assumptions!B8)</f>
        <v>4977258753.155118</v>
      </c>
      <c r="D9" s="18">
        <f>D8*(1-Assumptions!B8)</f>
        <v>7115726264.339824</v>
      </c>
      <c r="E9" s="18">
        <f>E8*(1-Assumptions!B8)</f>
        <v>10172981309.625229</v>
      </c>
      <c r="F9" s="18">
        <f>F8*(1-Assumptions!B8)</f>
        <v>14543778791.016449</v>
      </c>
    </row>
    <row r="10" spans="1:6" x14ac:dyDescent="0.25">
      <c r="A10" t="s">
        <v>46</v>
      </c>
      <c r="B10" s="18">
        <f>B6*Assumptions!B9</f>
        <v>1817240944.1293938</v>
      </c>
      <c r="C10" s="18">
        <f>C6*Assumptions!B9</f>
        <v>2598014239.58081</v>
      </c>
      <c r="D10" s="18">
        <f>D6*Assumptions!B9</f>
        <v>3714244944.166333</v>
      </c>
      <c r="E10" s="18">
        <f>E6*Assumptions!B9</f>
        <v>5310061544.34746</v>
      </c>
      <c r="F10" s="18">
        <f>F6*Assumptions!B9</f>
        <v>7591516991.641629</v>
      </c>
    </row>
    <row r="11" spans="1:6" x14ac:dyDescent="0.25">
      <c r="A11" t="s">
        <v>47</v>
      </c>
      <c r="B11" s="18">
        <f>-B6*Assumptions!B10</f>
        <v>-1817240944.1293938</v>
      </c>
      <c r="C11" s="18">
        <f>-C6*Assumptions!B10</f>
        <v>-2598014239.58081</v>
      </c>
      <c r="D11" s="18">
        <f>-D6*Assumptions!B10</f>
        <v>-3714244944.166333</v>
      </c>
      <c r="E11" s="18">
        <f>-E6*Assumptions!B10</f>
        <v>-5310061544.34746</v>
      </c>
      <c r="F11" s="18">
        <f>-F6*Assumptions!B10</f>
        <v>-7591516991.641629</v>
      </c>
    </row>
    <row r="12" spans="1:6" x14ac:dyDescent="0.25">
      <c r="A12" t="s">
        <v>48</v>
      </c>
      <c r="B12" s="18">
        <f>-(B6-Assumptions!B29)*Assumptions!B11</f>
        <v>2182099348.969537</v>
      </c>
      <c r="C12" s="18">
        <f>-(C6-B6)*Assumptions!B11</f>
        <v>3119633199.5033503</v>
      </c>
      <c r="D12" s="18">
        <f>-(D6-C6)*Assumptions!B11</f>
        <v>4459976262.785357</v>
      </c>
      <c r="E12" s="18">
        <f>-(E6-D6)*Assumptions!B11</f>
        <v>6376194569.21268</v>
      </c>
      <c r="F12" s="18">
        <f>-(F6-E6)*Assumptions!B11</f>
        <v>9115711561.89669</v>
      </c>
    </row>
    <row r="13" spans="1:6" x14ac:dyDescent="0.25">
      <c r="A13" s="19" t="s">
        <v>49</v>
      </c>
      <c r="B13" s="20">
        <f>B9+B10+B11+B12</f>
        <v>5663557709.728672</v>
      </c>
      <c r="C13" s="20">
        <f>C9+C10+C11+C12</f>
        <v>8096891952.658467</v>
      </c>
      <c r="D13" s="20">
        <f>D9+D10+D11+D12</f>
        <v>11575702527.125181</v>
      </c>
      <c r="E13" s="20">
        <f>E9+E10+E11+E12</f>
        <v>16549175878.83791</v>
      </c>
      <c r="F13" s="20">
        <f>F9+F10+F11+F12</f>
        <v>23659490352.91314</v>
      </c>
    </row>
    <row r="14" spans="1:6" x14ac:dyDescent="0.25">
      <c r="A14" t="s">
        <v>50</v>
      </c>
      <c r="B14" s="21">
        <f>1/(1+Assumptions!$B$26)^(1-0.5*Assumptions!$B$32)</f>
        <v>0.9485665461707149</v>
      </c>
      <c r="C14" s="21">
        <f>1/(1+Assumptions!$B$26)^(2-0.5*Assumptions!$B$32)</f>
        <v>0.8534997769629242</v>
      </c>
      <c r="D14" s="21">
        <f>1/(1+Assumptions!$B$26)^(3-0.5*Assumptions!$B$32)</f>
        <v>0.7679607426769391</v>
      </c>
      <c r="E14" s="21">
        <f>1/(1+Assumptions!$B$26)^(4-0.5*Assumptions!$B$32)</f>
        <v>0.6909945593559718</v>
      </c>
      <c r="F14" s="21">
        <f>1/(1+Assumptions!$B$26)^(5-0.5*Assumptions!$B$32)</f>
        <v>0.6217420429528572</v>
      </c>
    </row>
    <row r="15" spans="1:6" x14ac:dyDescent="0.25">
      <c r="A15" s="19" t="s">
        <v>51</v>
      </c>
      <c r="B15" s="20">
        <f>B13*B14</f>
        <v>5372261375.755851</v>
      </c>
      <c r="C15" s="20">
        <f>C13*C14</f>
        <v>6910695475.686898</v>
      </c>
      <c r="D15" s="20">
        <f>D13*D14</f>
        <v>8889685109.738375</v>
      </c>
      <c r="E15" s="20">
        <f>E13*E14</f>
        <v>11435390494.102077</v>
      </c>
      <c r="F15" s="20">
        <f>F13*F14</f>
        <v>14710099867.243631</v>
      </c>
    </row>
    <row r="17" spans="1:2" x14ac:dyDescent="0.25">
      <c r="A17" s="22" t="s">
        <v>52</v>
      </c>
      <c r="B17" s="23">
        <f>SUM(B15:F15)</f>
        <v>47318132322.52683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23659490352.91314</v>
      </c>
    </row>
    <row r="5" spans="1:2" x14ac:dyDescent="0.25">
      <c r="A5" t="s">
        <v>56</v>
      </c>
      <c r="B5" s="18">
        <f>IF(Assumptions!$B$33=0,B4,B4-Forecast!F11-Forecast!F10-Forecast!F12)</f>
        <v>14543778791.016449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0.10126377857661842</v>
      </c>
    </row>
    <row r="7" spans="1:2" x14ac:dyDescent="0.25">
      <c r="A7" t="s">
        <v>58</v>
      </c>
      <c r="B7" s="18">
        <f>-MAX(Forecast!F9,0)*B6</f>
        <v>-1472757995.1608088</v>
      </c>
    </row>
    <row r="8" spans="1:2" x14ac:dyDescent="0.25">
      <c r="A8" t="s">
        <v>59</v>
      </c>
      <c r="B8" s="18">
        <f>IF(OR(Assumptions!$B$33=0,Assumptions!B12&lt;=0),B5,MAX(B5+B7,0))</f>
        <v>13071020795.85564</v>
      </c>
    </row>
    <row r="9" spans="1:2" x14ac:dyDescent="0.25">
      <c r="A9" t="s">
        <v>60</v>
      </c>
      <c r="B9" s="18">
        <f>B8*(1+Assumptions!B12)/(Assumptions!B26-Assumptions!B12)</f>
        <v>155094651355.69656</v>
      </c>
    </row>
    <row r="10" spans="1:2" x14ac:dyDescent="0.25">
      <c r="A10" t="s">
        <v>61</v>
      </c>
      <c r="B10" s="18">
        <f>B9/(1+Assumptions!B26)^(5-0.5*Assumptions!B32)</f>
        <v>96428865384.9519</v>
      </c>
    </row>
    <row r="11" spans="1:2" x14ac:dyDescent="0.25">
      <c r="A11" t="s">
        <v>62</v>
      </c>
      <c r="B11" s="18">
        <f>Forecast!B17+B10</f>
        <v>143746997707.47873</v>
      </c>
    </row>
    <row r="12" spans="1:2" x14ac:dyDescent="0.25">
      <c r="A12" t="s">
        <v>63</v>
      </c>
      <c r="B12" s="18">
        <f>-Assumptions!B30</f>
        <v>234696000000.00003</v>
      </c>
    </row>
    <row r="13" spans="1:2" x14ac:dyDescent="0.25">
      <c r="A13" t="s">
        <v>64</v>
      </c>
      <c r="B13" s="18">
        <f>B11+B12</f>
        <v>378442997707.47876</v>
      </c>
    </row>
    <row r="14" spans="1:2" x14ac:dyDescent="0.25">
      <c r="A14" s="19" t="s">
        <v>65</v>
      </c>
      <c r="B14" s="24">
        <f>B13/Assumptions!B31</f>
        <v>637.4772900008643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25050424578.21378</v>
      </c>
    </row>
    <row r="18" spans="1:2" x14ac:dyDescent="0.25">
      <c r="A18" t="s">
        <v>60</v>
      </c>
      <c r="B18" s="18">
        <f>B17*Assumptions!B13</f>
        <v>200403396625.71024</v>
      </c>
    </row>
    <row r="19" spans="1:2" x14ac:dyDescent="0.25">
      <c r="A19" t="s">
        <v>61</v>
      </c>
      <c r="B19" s="18">
        <f>B18/(1+Assumptions!B26)^(5-0.5*Assumptions!B32)</f>
        <v>124599217232.7608</v>
      </c>
    </row>
    <row r="20" spans="1:2" x14ac:dyDescent="0.25">
      <c r="A20" t="s">
        <v>62</v>
      </c>
      <c r="B20" s="18">
        <f>Forecast!B17+B19</f>
        <v>171917349555.28763</v>
      </c>
    </row>
    <row r="21" spans="1:2" x14ac:dyDescent="0.25">
      <c r="A21" t="s">
        <v>63</v>
      </c>
      <c r="B21" s="18">
        <f>-Assumptions!B30</f>
        <v>234695999999.99997</v>
      </c>
    </row>
    <row r="22" spans="1:2" x14ac:dyDescent="0.25">
      <c r="A22" t="s">
        <v>64</v>
      </c>
      <c r="B22" s="18">
        <f>B20+B21</f>
        <v>406613349555.2876</v>
      </c>
    </row>
    <row r="23" spans="1:2" x14ac:dyDescent="0.25">
      <c r="A23" s="19" t="s">
        <v>65</v>
      </c>
      <c r="B23" s="25">
        <f>B22/Assumptions!B31</f>
        <v>684.9295078067089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125.91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637.4772900008643</v>
      </c>
    </row>
    <row r="29" spans="1:2" x14ac:dyDescent="0.25">
      <c r="A29" s="19" t="s">
        <v>73</v>
      </c>
      <c r="B29" s="12">
        <f>B28/B26-1</f>
        <v>4.0629599714150135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0.091385</v>
      </c>
      <c r="B5" s="31">
        <v>685.8076591364947</v>
      </c>
      <c r="C5" s="31">
        <v>696.5608844151217</v>
      </c>
      <c r="D5" s="31">
        <v>708.8835112294786</v>
      </c>
      <c r="E5" s="31">
        <v>723.1590375519687</v>
      </c>
      <c r="F5" s="31">
        <v>739.9069897215471</v>
      </c>
    </row>
    <row r="6" spans="1:6" x14ac:dyDescent="0.25">
      <c r="A6" s="30">
        <v>0.101385</v>
      </c>
      <c r="B6" s="31">
        <v>652.3086339274403</v>
      </c>
      <c r="C6" s="31">
        <v>659.9531761013582</v>
      </c>
      <c r="D6" s="31">
        <v>668.5564471537001</v>
      </c>
      <c r="E6" s="31">
        <v>678.3199030370665</v>
      </c>
      <c r="F6" s="31">
        <v>689.5056929186691</v>
      </c>
    </row>
    <row r="7" spans="1:6" x14ac:dyDescent="0.25">
      <c r="A7" s="30">
        <v>0.111385</v>
      </c>
      <c r="B7" s="31">
        <v>625.7008557552241</v>
      </c>
      <c r="C7" s="31">
        <v>631.2833233071449</v>
      </c>
      <c r="D7" s="32">
        <v>637.4763114017785</v>
      </c>
      <c r="E7" s="31">
        <v>644.3923445601141</v>
      </c>
      <c r="F7" s="31">
        <v>652.1734097685433</v>
      </c>
    </row>
    <row r="8" spans="1:6" x14ac:dyDescent="0.25">
      <c r="A8" s="30">
        <v>0.121385</v>
      </c>
      <c r="B8" s="31">
        <v>604.0460863418116</v>
      </c>
      <c r="C8" s="31">
        <v>608.2083352605171</v>
      </c>
      <c r="D8" s="31">
        <v>612.7716788030565</v>
      </c>
      <c r="E8" s="31">
        <v>617.8019529311031</v>
      </c>
      <c r="F8" s="31">
        <v>623.380236058532</v>
      </c>
    </row>
    <row r="9" spans="1:6" x14ac:dyDescent="0.25">
      <c r="A9" s="30">
        <v>0.131385</v>
      </c>
      <c r="B9" s="31">
        <v>586.0718576389327</v>
      </c>
      <c r="C9" s="31">
        <v>589.2261995586136</v>
      </c>
      <c r="D9" s="31">
        <v>592.6502832305529</v>
      </c>
      <c r="E9" s="31">
        <v>596.3840171844527</v>
      </c>
      <c r="F9" s="31">
        <v>600.4755910165097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32049000000</v>
      </c>
      <c r="C5" s="18">
        <v>26114000000</v>
      </c>
      <c r="D5" s="18">
        <v>32644000000</v>
      </c>
      <c r="E5" s="18">
        <v>10968000000</v>
      </c>
      <c r="F5" s="8" t="s">
        <v>84</v>
      </c>
    </row>
    <row r="6" spans="1:6" x14ac:dyDescent="0.25">
      <c r="A6" t="s">
        <v>44</v>
      </c>
      <c r="B6" s="18">
        <v>8258000000</v>
      </c>
      <c r="C6" s="18">
        <v>8299000000</v>
      </c>
      <c r="D6" s="18">
        <v>6146000000</v>
      </c>
      <c r="E6" s="18">
        <v>-4375000000</v>
      </c>
      <c r="F6" s="8" t="s">
        <v>85</v>
      </c>
    </row>
    <row r="7" spans="1:6" x14ac:dyDescent="0.25">
      <c r="A7" t="s">
        <v>86</v>
      </c>
      <c r="B7" s="18">
        <v>1431000000</v>
      </c>
      <c r="C7" s="18">
        <v>1075000000</v>
      </c>
      <c r="D7" s="18">
        <v>803000000</v>
      </c>
      <c r="E7" s="18">
        <v>529000000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202525000</v>
      </c>
      <c r="F8" s="8" t="s">
        <v>89</v>
      </c>
    </row>
    <row r="9" spans="1:6" x14ac:dyDescent="0.25">
      <c r="A9" t="s">
        <v>90</v>
      </c>
      <c r="B9" s="18">
        <v>-6201000000</v>
      </c>
      <c r="C9" s="18">
        <v>-2136000000</v>
      </c>
      <c r="D9" s="18">
        <v>-3435000000</v>
      </c>
      <c r="E9" s="18">
        <v>-5945000000</v>
      </c>
      <c r="F9" s="8" t="s">
        <v>91</v>
      </c>
    </row>
    <row r="10" spans="1:6" x14ac:dyDescent="0.25">
      <c r="A10" t="s">
        <v>92</v>
      </c>
      <c r="B10" s="18">
        <v>13364000000</v>
      </c>
      <c r="C10" s="18">
        <v>10588000000</v>
      </c>
      <c r="D10" s="18">
        <v>8092000000</v>
      </c>
      <c r="E10" s="18">
        <v>6522000000</v>
      </c>
      <c r="F10" s="8" t="s">
        <v>93</v>
      </c>
    </row>
    <row r="11" spans="1:6" x14ac:dyDescent="0.25">
      <c r="A11" t="s">
        <v>94</v>
      </c>
      <c r="B11" s="18">
        <v>248060000000</v>
      </c>
      <c r="C11" s="18">
        <v>205980000000</v>
      </c>
      <c r="D11" s="18">
        <v>170243000000</v>
      </c>
      <c r="E11" s="18">
        <v>127373000000</v>
      </c>
      <c r="F11" s="8" t="s">
        <v>95</v>
      </c>
    </row>
    <row r="12" spans="1:6" x14ac:dyDescent="0.25">
      <c r="A12" t="s">
        <v>32</v>
      </c>
      <c r="B12" s="34">
        <v>593657223</v>
      </c>
      <c r="C12" s="34">
        <v>604000000</v>
      </c>
      <c r="D12" s="34">
        <v>589000000</v>
      </c>
      <c r="E12" s="34">
        <v>584691775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86" customHeight="1" spans="1:6" x14ac:dyDescent="0.25">
      <c r="A17" s="35" t="s">
        <v>99</v>
      </c>
      <c r="B17" s="35"/>
      <c r="C17" s="35"/>
      <c r="D17" s="35"/>
      <c r="E17" s="35"/>
      <c r="F17" s="35"/>
    </row>
    <row r="18" ht="22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2026-09-19T00:06:51Z</dcterms:modified>
</cp:coreProperties>
</file>