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<sst xmlns="http://schemas.openxmlformats.org/spreadsheetml/2006/main" count="114" uniqueCount="102">
  <si>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Apollo Hospitals Enterprise Limited (APOLLOHOSP.NS)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</si>
  <si>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</si>
  <si>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</si>
  <si>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</si>
  <si>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</si>
  <si>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</si>
  <si>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</si>
  <si>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</si>
  <si>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</si>
  <si>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</si>
  <si>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</si>
  <si>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</si>
  <si>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</si>
  <si>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</si>
  <si>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</si>
  <si>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</si>
  <si>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</si>
  <si>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</si>
  <si>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</si>
  <si>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</si>
  <si>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</si>
  <si>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</si>
  <si>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</si>
  <si>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</si>
  <si>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</si>
  <si>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</si>
  <si>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</si>
  <si>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</si>
  <si>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</si>
  <si>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</si>
  <si>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</si>
  <si>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</si>
  <si>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</si>
  <si>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</si>
  <si>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</si>
  <si>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</si>
  <si>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</si>
  <si>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</si>
  <si>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</si>
  <si>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</si>
  <si>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</si>
  <si>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</si>
  <si>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</si>
  <si>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</si>
  <si>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</si>
  <si>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</si>
  <si>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</si>
  <si>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</si>
  <si>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</si>
  <si>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</si>
  <si>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</si>
  <si>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</si>
  <si>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</si>
  <si>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</si>
  <si>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</si>
  <si>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</si>
  <si>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</si>
  <si>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</si>
  <si>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</si>
  <si>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</si>
  <si>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</si>
  <si>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</si>
  <si>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</si>
  <si>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</si>
  <si>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</si>
  <si>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</si>
  <si>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</si>
  <si>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</si>
  <si>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</si>
  <si>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</si>
  <si>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</si>
  <si>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</si>
  <si>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</si>
  <si>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</si>
  <si>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</si>
  <si>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</si>
  <si>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</si>
  <si>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</si>
  <si>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</si>
  <si>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</si>
  <si>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</si>
  <si>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</si>
  <si>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</si>
  <si>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</si>
  <si>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</si>
  <si>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</si>
  <si>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</si>
  <si>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</si>
  <si>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</si>
  <si>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</si>
  <si>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</si>
  <si>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</si>
  <si>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</si>
  <si>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</si>
  <si>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</si>
  <si>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</si>
  <si>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</si>
  <si>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</si>
  <si>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7.2% of revenue against depreciation of 3.6%.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</si>
  <si>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</si>
  <si>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35.8x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</si>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</sst>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0.14846702644087806</v>
      </c>
    </row>
    <row r="7" spans="1:2" x14ac:dyDescent="0.25">
      <c r="A7" t="s">
        <v>5</v>
      </c>
      <c r="B7" s="6">
        <v>0.10022591033577014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0.03605066169381353</v>
      </c>
    </row>
    <row r="10" spans="1:2" x14ac:dyDescent="0.25">
      <c r="A10" t="s">
        <v>8</v>
      </c>
      <c r="B10" s="6">
        <v>0.07180379863748945</v>
      </c>
    </row>
    <row r="11" spans="1:2" x14ac:dyDescent="0.25">
      <c r="A11" t="s">
        <v>9</v>
      </c>
      <c r="B11" s="6">
        <v>0.16962676202015425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0.13496381209804692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0.46199</v>
      </c>
      <c r="C19" s="8" t="s">
        <v>19</v>
      </c>
    </row>
    <row r="20" spans="1:2" x14ac:dyDescent="0.25">
      <c r="A20" t="s">
        <v>20</v>
      </c>
      <c r="B20" s="10">
        <f>B17+B19*B18</f>
        <v>0.1049592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1286081871872</v>
      </c>
    </row>
    <row r="23" spans="1:2" x14ac:dyDescent="0.25">
      <c r="A23" t="s">
        <v>24</v>
      </c>
      <c r="B23" s="11">
        <v>84924000000</v>
      </c>
    </row>
    <row r="24" spans="1:2" x14ac:dyDescent="0.25">
      <c r="A24" t="s">
        <v>25</v>
      </c>
      <c r="B24" s="10">
        <f>B22/(B22+B23)</f>
        <v>0.9380571580747186</v>
      </c>
    </row>
    <row r="25" spans="1:2" x14ac:dyDescent="0.25">
      <c r="A25" t="s">
        <v>26</v>
      </c>
      <c r="B25" s="10">
        <f>1-B24</f>
        <v>0.06194284192528143</v>
      </c>
    </row>
    <row r="26" spans="1:2" x14ac:dyDescent="0.25">
      <c r="A26" t="s">
        <v>27</v>
      </c>
      <c r="B26" s="12">
        <f>B24*B20+B25*B21*(1-B8)</f>
        <v>0.10160838957748351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249106000000</v>
      </c>
      <c r="C29" s="8" t="s">
        <v>30</v>
      </c>
    </row>
    <row r="30" spans="1:2" x14ac:dyDescent="0.25">
      <c r="A30" t="s">
        <v>31</v>
      </c>
      <c r="B30" s="11">
        <v>66365000000</v>
      </c>
    </row>
    <row r="31" spans="1:2" x14ac:dyDescent="0.25">
      <c r="A31" t="s">
        <v>32</v>
      </c>
      <c r="B31" s="13">
        <v>143881819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0.14846702644087806</v>
      </c>
      <c r="C5" s="10">
        <f>Assumptions!B6</f>
        <v>0.14846702644087806</v>
      </c>
      <c r="D5" s="10">
        <f>Assumptions!B6</f>
        <v>0.14846702644087806</v>
      </c>
      <c r="E5" s="10">
        <f>Assumptions!B6</f>
        <v>0.14846702644087806</v>
      </c>
      <c r="F5" s="10">
        <f>Assumptions!B6</f>
        <v>0.14846702644087806</v>
      </c>
    </row>
    <row r="6" spans="1:6" x14ac:dyDescent="0.25">
      <c r="A6" t="s">
        <v>43</v>
      </c>
      <c r="B6" s="18">
        <f>Assumptions!B29*(1+B5)</f>
        <v>286090027088.58136</v>
      </c>
      <c r="C6" s="18">
        <f>B6*(1+C5)</f>
        <v>328564962704.8133</v>
      </c>
      <c r="D6" s="18">
        <f>C6*(1+D5)</f>
        <v>377346025710.25494</v>
      </c>
      <c r="E6" s="18">
        <f>D6*(1+E5)</f>
        <v>433369468086.7396</v>
      </c>
      <c r="F6" s="18">
        <f>E6*(1+F5)</f>
        <v>497710544363.84283</v>
      </c>
    </row>
    <row r="7" spans="1:6" x14ac:dyDescent="0.25">
      <c r="A7" t="s">
        <v>5</v>
      </c>
      <c r="B7" s="10">
        <f>Assumptions!B7</f>
        <v>0.10022591033577014</v>
      </c>
      <c r="C7" s="10">
        <f>Assumptions!B7</f>
        <v>0.10022591033577014</v>
      </c>
      <c r="D7" s="10">
        <f>Assumptions!B7</f>
        <v>0.10022591033577014</v>
      </c>
      <c r="E7" s="10">
        <f>Assumptions!B7</f>
        <v>0.10022591033577014</v>
      </c>
      <c r="F7" s="10">
        <f>Assumptions!B7</f>
        <v>0.10022591033577014</v>
      </c>
    </row>
    <row r="8" spans="1:6" x14ac:dyDescent="0.25">
      <c r="A8" t="s">
        <v>44</v>
      </c>
      <c r="B8" s="18">
        <f>B6*B7</f>
        <v>28673633402.938206</v>
      </c>
      <c r="C8" s="18">
        <f>C6*C7</f>
        <v>32930722491.528275</v>
      </c>
      <c r="D8" s="18">
        <f>D6*D7</f>
        <v>37819848938.395226</v>
      </c>
      <c r="E8" s="18">
        <f>E6*E7</f>
        <v>43434849450.72196</v>
      </c>
      <c r="F8" s="18">
        <f>F6*F7</f>
        <v>49883492392.57786</v>
      </c>
    </row>
    <row r="9" spans="1:6" x14ac:dyDescent="0.25">
      <c r="A9" t="s">
        <v>45</v>
      </c>
      <c r="B9" s="18">
        <f>B8*(1-Assumptions!B8)</f>
        <v>21447877785.397778</v>
      </c>
      <c r="C9" s="18">
        <f>C8*(1-Assumptions!B8)</f>
        <v>24632180423.66315</v>
      </c>
      <c r="D9" s="18">
        <f>D8*(1-Assumptions!B8)</f>
        <v>28289247005.91963</v>
      </c>
      <c r="E9" s="18">
        <f>E8*(1-Assumptions!B8)</f>
        <v>32489267389.140026</v>
      </c>
      <c r="F9" s="18">
        <f>F8*(1-Assumptions!B8)</f>
        <v>37312852309.64824</v>
      </c>
    </row>
    <row r="10" spans="1:6" x14ac:dyDescent="0.25">
      <c r="A10" t="s">
        <v>46</v>
      </c>
      <c r="B10" s="18">
        <f>B6*Assumptions!B9</f>
        <v>10313734780.544395</v>
      </c>
      <c r="C10" s="18">
        <f>C6*Assumptions!B9</f>
        <v>11844984314.911684</v>
      </c>
      <c r="D10" s="18">
        <f>D6*Assumptions!B9</f>
        <v>13603573914.385464</v>
      </c>
      <c r="E10" s="18">
        <f>E6*Assumptions!B9</f>
        <v>15623256082.42297</v>
      </c>
      <c r="F10" s="18">
        <f>F6*Assumptions!B9</f>
        <v>17942794456.30467</v>
      </c>
    </row>
    <row r="11" spans="1:6" x14ac:dyDescent="0.25">
      <c r="A11" t="s">
        <v>47</v>
      </c>
      <c r="B11" s="18">
        <f>-B6*Assumptions!B10</f>
        <v>-20542350697.262398</v>
      </c>
      <c r="C11" s="18">
        <f>-C6*Assumptions!B10</f>
        <v>-23592212421.390644</v>
      </c>
      <c r="D11" s="18">
        <f>-D6*Assumptions!B10</f>
        <v>-27094878046.756065</v>
      </c>
      <c r="E11" s="18">
        <f>-E6*Assumptions!B10</f>
        <v>-31117574022.13616</v>
      </c>
      <c r="F11" s="18">
        <f>-F6*Assumptions!B10</f>
        <v>-35737507707.25663</v>
      </c>
    </row>
    <row r="12" spans="1:6" x14ac:dyDescent="0.25">
      <c r="A12" t="s">
        <v>48</v>
      </c>
      <c r="B12" s="18">
        <f>-(B6-Assumptions!B29)*Assumptions!B11</f>
        <v>-6273480761.501729</v>
      </c>
      <c r="C12" s="18">
        <f>-(C6-B6)*Assumptions!B11</f>
        <v>-7204885795.595948</v>
      </c>
      <c r="D12" s="18">
        <f>-(D6-C6)*Assumptions!B11</f>
        <v>-8274573765.514201</v>
      </c>
      <c r="E12" s="18">
        <f>-(E6-D6)*Assumptions!B11</f>
        <v>-9503075127.545792</v>
      </c>
      <c r="F12" s="18">
        <f>-(F6-E6)*Assumptions!B11</f>
        <v>-10913968433.77678</v>
      </c>
    </row>
    <row r="13" spans="1:6" x14ac:dyDescent="0.25">
      <c r="A13" s="19" t="s">
        <v>49</v>
      </c>
      <c r="B13" s="20">
        <f>B9+B10+B11+B12</f>
        <v>4945781107.178046</v>
      </c>
      <c r="C13" s="20">
        <f>C9+C10+C11+C12</f>
        <v>5680066521.588244</v>
      </c>
      <c r="D13" s="20">
        <f>D9+D10+D11+D12</f>
        <v>6523369108.034825</v>
      </c>
      <c r="E13" s="20">
        <f>E9+E10+E11+E12</f>
        <v>7491874321.8810425</v>
      </c>
      <c r="F13" s="20">
        <f>F9+F10+F11+F12</f>
        <v>8604170624.919502</v>
      </c>
    </row>
    <row r="14" spans="1:6" x14ac:dyDescent="0.25">
      <c r="A14" t="s">
        <v>50</v>
      </c>
      <c r="B14" s="21">
        <f>1/(1+Assumptions!$B$26)^(1-0.5*Assumptions!$B$32)</f>
        <v>0.9527662894212592</v>
      </c>
      <c r="C14" s="21">
        <f>1/(1+Assumptions!$B$26)^(2-0.5*Assumptions!$B$32)</f>
        <v>0.864886558994606</v>
      </c>
      <c r="D14" s="21">
        <f>1/(1+Assumptions!$B$26)^(3-0.5*Assumptions!$B$32)</f>
        <v>0.7851125383370845</v>
      </c>
      <c r="E14" s="21">
        <f>1/(1+Assumptions!$B$26)^(4-0.5*Assumptions!$B$32)</f>
        <v>0.7126965859784444</v>
      </c>
      <c r="F14" s="21">
        <f>1/(1+Assumptions!$B$26)^(5-0.5*Assumptions!$B$32)</f>
        <v>0.6469600202044536</v>
      </c>
    </row>
    <row r="15" spans="1:6" x14ac:dyDescent="0.25">
      <c r="A15" s="19" t="s">
        <v>51</v>
      </c>
      <c r="B15" s="20">
        <f>B13*B14</f>
        <v>4712173513.775794</v>
      </c>
      <c r="C15" s="20">
        <f>C13*C14</f>
        <v>4912613188.716918</v>
      </c>
      <c r="D15" s="20">
        <f>D13*D14</f>
        <v>5121578878.918944</v>
      </c>
      <c r="E15" s="20">
        <f>E13*E14</f>
        <v>5339433251.784192</v>
      </c>
      <c r="F15" s="20">
        <f>F13*F14</f>
        <v>5566554401.3404875</v>
      </c>
    </row>
    <row r="17" spans="1:2" x14ac:dyDescent="0.25">
      <c r="A17" s="22" t="s">
        <v>52</v>
      </c>
      <c r="B17" s="23">
        <f>SUM(B15:F15)</f>
        <v>25652353234.536335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8604170624.919502</v>
      </c>
    </row>
    <row r="5" spans="1:2" x14ac:dyDescent="0.25">
      <c r="A5" t="s">
        <v>56</v>
      </c>
      <c r="B5" s="18">
        <f>IF(Assumptions!$B$33=0,B4,B4-Forecast!F11-Forecast!F10-Forecast!F12)</f>
        <v>38545958748.133995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0.18523483896437584</v>
      </c>
    </row>
    <row r="7" spans="1:2" x14ac:dyDescent="0.25">
      <c r="A7" t="s">
        <v>58</v>
      </c>
      <c r="B7" s="18">
        <f>-MAX(Forecast!F9,0)*B6</f>
        <v>-7140054461.438075</v>
      </c>
    </row>
    <row r="8" spans="1:2" x14ac:dyDescent="0.25">
      <c r="A8" t="s">
        <v>59</v>
      </c>
      <c r="B8" s="18">
        <f>IF(OR(Assumptions!$B$33=0,Assumptions!B12&lt;=0),B5,MAX(B5+B7,0))</f>
        <v>31405904286.69592</v>
      </c>
    </row>
    <row r="9" spans="1:2" x14ac:dyDescent="0.25">
      <c r="A9" t="s">
        <v>60</v>
      </c>
      <c r="B9" s="18">
        <f>B8*(1+Assumptions!B12)/(Assumptions!B26-Assumptions!B12)</f>
        <v>420202696746.4776</v>
      </c>
    </row>
    <row r="10" spans="1:2" x14ac:dyDescent="0.25">
      <c r="A10" t="s">
        <v>61</v>
      </c>
      <c r="B10" s="18">
        <f>B9/(1+Assumptions!B26)^(5-0.5*Assumptions!B32)</f>
        <v>271854345177.06705</v>
      </c>
    </row>
    <row r="11" spans="1:2" x14ac:dyDescent="0.25">
      <c r="A11" t="s">
        <v>62</v>
      </c>
      <c r="B11" s="18">
        <f>Forecast!B17+B10</f>
        <v>297506698411.6034</v>
      </c>
    </row>
    <row r="12" spans="1:2" x14ac:dyDescent="0.25">
      <c r="A12" t="s">
        <v>63</v>
      </c>
      <c r="B12" s="18">
        <f>-Assumptions!B30</f>
        <v>-66365000000</v>
      </c>
    </row>
    <row r="13" spans="1:2" x14ac:dyDescent="0.25">
      <c r="A13" t="s">
        <v>64</v>
      </c>
      <c r="B13" s="18">
        <f>B11+B12</f>
        <v>231141698411.6034</v>
      </c>
    </row>
    <row r="14" spans="1:2" x14ac:dyDescent="0.25">
      <c r="A14" s="19" t="s">
        <v>65</v>
      </c>
      <c r="B14" s="24">
        <f>B13/Assumptions!B31</f>
        <v>1606.469114847675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67826286848.88252</v>
      </c>
    </row>
    <row r="18" spans="1:2" x14ac:dyDescent="0.25">
      <c r="A18" t="s">
        <v>60</v>
      </c>
      <c r="B18" s="18">
        <f>B17*Assumptions!B13</f>
        <v>1356525736977.6504</v>
      </c>
    </row>
    <row r="19" spans="1:2" x14ac:dyDescent="0.25">
      <c r="A19" t="s">
        <v>61</v>
      </c>
      <c r="B19" s="18">
        <f>B18/(1+Assumptions!B26)^(5-0.5*Assumptions!B32)</f>
        <v>877617918202.9221</v>
      </c>
    </row>
    <row r="20" spans="1:2" x14ac:dyDescent="0.25">
      <c r="A20" t="s">
        <v>62</v>
      </c>
      <c r="B20" s="18">
        <f>Forecast!B17+B19</f>
        <v>903270271437.4585</v>
      </c>
    </row>
    <row r="21" spans="1:2" x14ac:dyDescent="0.25">
      <c r="A21" t="s">
        <v>63</v>
      </c>
      <c r="B21" s="18">
        <f>-Assumptions!B30</f>
        <v>-66365000000</v>
      </c>
    </row>
    <row r="22" spans="1:2" x14ac:dyDescent="0.25">
      <c r="A22" t="s">
        <v>64</v>
      </c>
      <c r="B22" s="18">
        <f>B20+B21</f>
        <v>836905271437.4585</v>
      </c>
    </row>
    <row r="23" spans="1:2" x14ac:dyDescent="0.25">
      <c r="A23" s="19" t="s">
        <v>65</v>
      </c>
      <c r="B23" s="25">
        <f>B22/Assumptions!B31</f>
        <v>5816.615867481203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8944.5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1606.469114847675</v>
      </c>
    </row>
    <row r="29" spans="1:2" x14ac:dyDescent="0.25">
      <c r="A29" s="19" t="s">
        <v>73</v>
      </c>
      <c r="B29" s="12">
        <f>B28/B26-1</f>
        <v>-0.8203958728998071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0.081608</v>
      </c>
      <c r="B5" s="31">
        <v>2275.1041417560514</v>
      </c>
      <c r="C5" s="31">
        <v>2380.1386578409715</v>
      </c>
      <c r="D5" s="31">
        <v>2502.496105974207</v>
      </c>
      <c r="E5" s="31">
        <v>2647.2114416030695</v>
      </c>
      <c r="F5" s="31">
        <v>2821.4801743489616</v>
      </c>
    </row>
    <row r="6" spans="1:6" x14ac:dyDescent="0.25">
      <c r="A6" s="30">
        <v>0.091608</v>
      </c>
      <c r="B6" s="31">
        <v>1847.9637603108797</v>
      </c>
      <c r="C6" s="31">
        <v>1912.3707524955494</v>
      </c>
      <c r="D6" s="31">
        <v>1985.442920506549</v>
      </c>
      <c r="E6" s="31">
        <v>2069.290016931125</v>
      </c>
      <c r="F6" s="31">
        <v>2166.7671846148746</v>
      </c>
    </row>
    <row r="7" spans="1:6" x14ac:dyDescent="0.25">
      <c r="A7" s="30">
        <v>0.101608</v>
      </c>
      <c r="B7" s="31">
        <v>1522.5184778974772</v>
      </c>
      <c r="C7" s="31">
        <v>1562.3214350714136</v>
      </c>
      <c r="D7" s="32">
        <v>1606.481892953333</v>
      </c>
      <c r="E7" s="31">
        <v>1655.912633782929</v>
      </c>
      <c r="F7" s="31">
        <v>1711.800515658553</v>
      </c>
    </row>
    <row r="8" spans="1:6" x14ac:dyDescent="0.25">
      <c r="A8" s="30">
        <v>0.111608</v>
      </c>
      <c r="B8" s="31">
        <v>1267.0322127058737</v>
      </c>
      <c r="C8" s="31">
        <v>1291.283385564304</v>
      </c>
      <c r="D8" s="31">
        <v>1317.6228216816246</v>
      </c>
      <c r="E8" s="31">
        <v>1346.4343553496133</v>
      </c>
      <c r="F8" s="31">
        <v>1378.2020282252772</v>
      </c>
    </row>
    <row r="9" spans="1:6" x14ac:dyDescent="0.25">
      <c r="A9" s="30">
        <v>0.121608</v>
      </c>
      <c r="B9" s="31">
        <v>1061.6857322484925</v>
      </c>
      <c r="C9" s="31">
        <v>1075.7964196779908</v>
      </c>
      <c r="D9" s="31">
        <v>1090.7547662811664</v>
      </c>
      <c r="E9" s="31">
        <v>1106.6995687526887</v>
      </c>
      <c r="F9" s="31">
        <v>1123.8016754902246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249106000000</v>
      </c>
      <c r="C5" s="18">
        <v>215267000000</v>
      </c>
      <c r="D5" s="18">
        <v>188623000000</v>
      </c>
      <c r="E5" s="18">
        <v>164448000000</v>
      </c>
      <c r="F5" s="8" t="s">
        <v>84</v>
      </c>
    </row>
    <row r="6" spans="1:6" x14ac:dyDescent="0.25">
      <c r="A6" t="s">
        <v>44</v>
      </c>
      <c r="B6" s="18">
        <v>29032000000</v>
      </c>
      <c r="C6" s="18">
        <v>22758000000</v>
      </c>
      <c r="D6" s="18">
        <v>17073000000</v>
      </c>
      <c r="E6" s="18">
        <v>14492000000</v>
      </c>
      <c r="F6" s="8" t="s">
        <v>85</v>
      </c>
    </row>
    <row r="7" spans="1:6" x14ac:dyDescent="0.25">
      <c r="A7" t="s">
        <v>86</v>
      </c>
      <c r="B7" s="18">
        <v>8761000000</v>
      </c>
      <c r="C7" s="18">
        <v>7575000000</v>
      </c>
      <c r="D7" s="18">
        <v>6870000000</v>
      </c>
      <c r="E7" s="18">
        <v>6154000000</v>
      </c>
      <c r="F7" s="8" t="s">
        <v>87</v>
      </c>
    </row>
    <row r="8" spans="1:6" x14ac:dyDescent="0.25">
      <c r="A8" t="s">
        <v>88</v>
      </c>
      <c r="B8" s="18">
        <v>19620000000</v>
      </c>
      <c r="C8" s="18">
        <v>17127000000</v>
      </c>
      <c r="D8" s="18">
        <v>11368000000</v>
      </c>
      <c r="E8" s="18">
        <v>11285000000</v>
      </c>
      <c r="F8" s="8" t="s">
        <v>89</v>
      </c>
    </row>
    <row r="9" spans="1:6" x14ac:dyDescent="0.25">
      <c r="A9" t="s">
        <v>90</v>
      </c>
      <c r="B9" s="18">
        <v>5740000000</v>
      </c>
      <c r="C9" s="18">
        <v>6039000000</v>
      </c>
      <c r="D9" s="18">
        <v>1928000000</v>
      </c>
      <c r="E9" s="18">
        <v>4500000000</v>
      </c>
      <c r="F9" s="8" t="s">
        <v>91</v>
      </c>
    </row>
    <row r="10" spans="1:6" x14ac:dyDescent="0.25">
      <c r="A10" t="s">
        <v>92</v>
      </c>
      <c r="B10" s="18">
        <v>84924000000</v>
      </c>
      <c r="C10" s="18">
        <v>54192000000</v>
      </c>
      <c r="D10" s="18">
        <v>53326000000</v>
      </c>
      <c r="E10" s="18">
        <v>43324000000</v>
      </c>
      <c r="F10" s="8" t="s">
        <v>93</v>
      </c>
    </row>
    <row r="11" spans="1:6" x14ac:dyDescent="0.25">
      <c r="A11" t="s">
        <v>94</v>
      </c>
      <c r="B11" s="18">
        <v>18559000000</v>
      </c>
      <c r="C11" s="18">
        <v>20104000000</v>
      </c>
      <c r="D11" s="18">
        <v>11895000000</v>
      </c>
      <c r="E11" s="18">
        <v>7256000000</v>
      </c>
      <c r="F11" s="8" t="s">
        <v>95</v>
      </c>
    </row>
    <row r="12" spans="1:6" x14ac:dyDescent="0.25">
      <c r="A12" t="s">
        <v>32</v>
      </c>
      <c r="B12" s="34">
        <v>143881819</v>
      </c>
      <c r="C12" s="34">
        <v>143784657</v>
      </c>
      <c r="D12" s="34">
        <v>143784657</v>
      </c>
      <c r="E12" s="34">
        <v>143784657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2026-09-19T00:09:44Z</dcterms:modified>
</cp:coreProperties>
</file>