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<sst xmlns="http://schemas.openxmlformats.org/spreadsheetml/2006/main" count="119" uniqueCount="106">
  <si>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AppLovin Corporation (APP)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</si>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</sst>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0.4731886411942088</v>
      </c>
    </row>
    <row r="7" spans="1:2" x14ac:dyDescent="0.25">
      <c r="A7" t="s">
        <v>4</v>
      </c>
      <c r="B7" s="5">
        <v>0.43817229101119026</v>
      </c>
    </row>
    <row r="8" spans="1:2" x14ac:dyDescent="0.25">
      <c r="A8" t="s">
        <v>5</v>
      </c>
      <c r="B8" s="5">
        <v>0.08727237929673326</v>
      </c>
    </row>
    <row r="9" spans="1:2" x14ac:dyDescent="0.25">
      <c r="A9" t="s">
        <v>6</v>
      </c>
      <c r="B9" s="5">
        <v>0.15860499941196834</v>
      </c>
    </row>
    <row r="10" spans="1:3" x14ac:dyDescent="0.25">
      <c r="A10" t="s">
        <v>7</v>
      </c>
      <c r="B10" s="5">
        <v>0.01200551467563269</v>
      </c>
      <c r="C10" s="6" t="s">
        <v>8</v>
      </c>
    </row>
    <row r="11" spans="1:2" x14ac:dyDescent="0.25">
      <c r="A11" t="s">
        <v>9</v>
      </c>
      <c r="B11" s="5">
        <v>0.2186485107490746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17.930279465855875</v>
      </c>
    </row>
    <row r="14" spans="1:3" x14ac:dyDescent="0.25">
      <c r="A14" t="s">
        <v>12</v>
      </c>
      <c r="B14" s="5">
        <v>0.37926892752015834</v>
      </c>
      <c r="C14" s="6" t="s">
        <v>13</v>
      </c>
    </row>
    <row r="15" spans="1:3" x14ac:dyDescent="0.25">
      <c r="A15" t="s">
        <v>14</v>
      </c>
      <c r="B15" s="5">
        <v>0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2.00366</v>
      </c>
      <c r="C19" s="6" t="s">
        <v>21</v>
      </c>
    </row>
    <row r="20" spans="1:2" x14ac:dyDescent="0.25">
      <c r="A20" t="s">
        <v>22</v>
      </c>
      <c r="B20" s="9">
        <f>B17+B19*B18</f>
        <v>0.133694818</v>
      </c>
    </row>
    <row r="21" spans="1:3" x14ac:dyDescent="0.25">
      <c r="A21" t="s">
        <v>23</v>
      </c>
      <c r="B21" s="5">
        <v>0.0583196971103415</v>
      </c>
      <c r="C21" s="6" t="s">
        <v>24</v>
      </c>
    </row>
    <row r="22" spans="1:2" x14ac:dyDescent="0.25">
      <c r="A22" t="s">
        <v>25</v>
      </c>
      <c r="B22" s="10">
        <v>76879757312</v>
      </c>
    </row>
    <row r="23" spans="1:2" x14ac:dyDescent="0.25">
      <c r="A23" t="s">
        <v>26</v>
      </c>
      <c r="B23" s="10">
        <v>3544741000</v>
      </c>
    </row>
    <row r="24" spans="1:2" x14ac:dyDescent="0.25">
      <c r="A24" t="s">
        <v>27</v>
      </c>
      <c r="B24" s="9">
        <f>B22/(B22+B23)</f>
        <v>0.9559246115997083</v>
      </c>
    </row>
    <row r="25" spans="1:2" x14ac:dyDescent="0.25">
      <c r="A25" t="s">
        <v>28</v>
      </c>
      <c r="B25" s="9">
        <f>1-B24</f>
        <v>0.04407538840029168</v>
      </c>
    </row>
    <row r="26" spans="1:2" x14ac:dyDescent="0.25">
      <c r="A26" t="s">
        <v>29</v>
      </c>
      <c r="B26" s="11">
        <f>B24*B20+B25*B21*(1-B8)</f>
        <v>0.13014829982285028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5480717000</v>
      </c>
      <c r="C29" s="6" t="s">
        <v>32</v>
      </c>
    </row>
    <row r="30" spans="1:2" x14ac:dyDescent="0.25">
      <c r="A30" t="s">
        <v>33</v>
      </c>
      <c r="B30" s="10">
        <v>1057645000</v>
      </c>
    </row>
    <row r="31" spans="1:2" x14ac:dyDescent="0.25">
      <c r="A31" t="s">
        <v>34</v>
      </c>
      <c r="B31" s="12">
        <v>341970000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0.4731886411942088</v>
      </c>
      <c r="C5" s="5">
        <v>0.24869464109930872</v>
      </c>
      <c r="D5" s="5">
        <v>0.22073281096189512</v>
      </c>
      <c r="E5" s="5">
        <v>0.19277098082448155</v>
      </c>
      <c r="F5" s="5">
        <v>0.16480915068706795</v>
      </c>
      <c r="G5" s="5">
        <v>0.13684732054965437</v>
      </c>
      <c r="H5" s="5">
        <v>0.10888549041224077</v>
      </c>
      <c r="I5" s="5">
        <v>0.08092366027482717</v>
      </c>
      <c r="J5" s="5">
        <v>0.052961830137413596</v>
      </c>
      <c r="K5" s="5">
        <v>0.024999999999999994</v>
      </c>
    </row>
    <row r="6" spans="1:11" x14ac:dyDescent="0.25">
      <c r="A6" t="s">
        <v>50</v>
      </c>
      <c r="B6" s="18">
        <f>Assumptions!B29*(1+B5)</f>
        <v>8074130030</v>
      </c>
      <c r="C6" s="18">
        <f>B6*(1+C5)</f>
        <v>10082122900</v>
      </c>
      <c r="D6" s="18">
        <f>C6*(1+D5)</f>
        <v>12307578228.180294</v>
      </c>
      <c r="E6" s="18">
        <f>D6*(1+E5)</f>
        <v>14680122154.800644</v>
      </c>
      <c r="F6" s="18">
        <f>E6*(1+F5)</f>
        <v>17099540619.115747</v>
      </c>
      <c r="G6" s="18">
        <f>F6*(1+G5)</f>
        <v>19439566935.471714</v>
      </c>
      <c r="H6" s="18">
        <f>G6*(1+H5)</f>
        <v>21556253714.64213</v>
      </c>
      <c r="I6" s="18">
        <f>H6*(1+I5)</f>
        <v>23300664667.04381</v>
      </c>
      <c r="J6" s="18">
        <f>I6*(1+J5)</f>
        <v>24534710511.22862</v>
      </c>
      <c r="K6" s="18">
        <f>J6*(1+K5)</f>
        <v>25148078274.00933</v>
      </c>
    </row>
    <row r="7" spans="1:11" x14ac:dyDescent="0.25">
      <c r="A7" t="s">
        <v>4</v>
      </c>
      <c r="B7" s="9">
        <f>Assumptions!B7</f>
        <v>0.43817229101119026</v>
      </c>
      <c r="C7" s="9">
        <f>Assumptions!B7</f>
        <v>0.43817229101119026</v>
      </c>
      <c r="D7" s="9">
        <f>Assumptions!B7</f>
        <v>0.43817229101119026</v>
      </c>
      <c r="E7" s="9">
        <f>Assumptions!B7</f>
        <v>0.43817229101119026</v>
      </c>
      <c r="F7" s="9">
        <f>Assumptions!B7</f>
        <v>0.43817229101119026</v>
      </c>
      <c r="G7" s="9">
        <f>Assumptions!B7</f>
        <v>0.43817229101119026</v>
      </c>
      <c r="H7" s="9">
        <f>Assumptions!B7</f>
        <v>0.43817229101119026</v>
      </c>
      <c r="I7" s="9">
        <f>Assumptions!B7</f>
        <v>0.43817229101119026</v>
      </c>
      <c r="J7" s="9">
        <f>Assumptions!B7</f>
        <v>0.43817229101119026</v>
      </c>
      <c r="K7" s="9">
        <f>Assumptions!B7</f>
        <v>0.43817229101119026</v>
      </c>
    </row>
    <row r="8" spans="1:11" x14ac:dyDescent="0.25">
      <c r="A8" t="s">
        <v>51</v>
      </c>
      <c r="B8" s="18">
        <f>B6*B7</f>
        <v>3537860053.1673503</v>
      </c>
      <c r="C8" s="18">
        <f>C6*C7</f>
        <v>4417706889.349385</v>
      </c>
      <c r="D8" s="18">
        <f>D6*D7</f>
        <v>5392839749.041205</v>
      </c>
      <c r="E8" s="18">
        <f>E6*E7</f>
        <v>6432422756.893129</v>
      </c>
      <c r="F8" s="18">
        <f>F6*F7</f>
        <v>7492544888.316854</v>
      </c>
      <c r="G8" s="18">
        <f>G6*G7</f>
        <v>8517879580.381024</v>
      </c>
      <c r="H8" s="18">
        <f>H6*H7</f>
        <v>9445353075.763224</v>
      </c>
      <c r="I8" s="18">
        <f>I6*I7</f>
        <v>10209705619.24208</v>
      </c>
      <c r="J8" s="18">
        <f>J6*J7</f>
        <v>10750430314.001375</v>
      </c>
      <c r="K8" s="18">
        <f>K6*K7</f>
        <v>11019191071.851408</v>
      </c>
    </row>
    <row r="9" spans="1:11" x14ac:dyDescent="0.25">
      <c r="A9" t="s">
        <v>52</v>
      </c>
      <c r="B9" s="18">
        <f>B8*(1-Assumptions!B8)</f>
        <v>3229102588.7085686</v>
      </c>
      <c r="C9" s="18">
        <f>C8*(1-Assumptions!B8)</f>
        <v>4032163098.080294</v>
      </c>
      <c r="D9" s="18">
        <f>D8*(1-Assumptions!B8)</f>
        <v>4922193792.976381</v>
      </c>
      <c r="E9" s="18">
        <f>E8*(1-Assumptions!B8)</f>
        <v>5871049918.256614</v>
      </c>
      <c r="F9" s="18">
        <f>F8*(1-Assumptions!B8)</f>
        <v>6838652668.925865</v>
      </c>
      <c r="G9" s="18">
        <f>G8*(1-Assumptions!B8)</f>
        <v>7774503962.838113</v>
      </c>
      <c r="H9" s="18">
        <f>H8*(1-Assumptions!B8)</f>
        <v>8621034639.54365</v>
      </c>
      <c r="I9" s="18">
        <f>I8*(1-Assumptions!B8)</f>
        <v>9318680317.931597</v>
      </c>
      <c r="J9" s="18">
        <f>J8*(1-Assumptions!B8)</f>
        <v>9812214682.034748</v>
      </c>
      <c r="K9" s="18">
        <f>K8*(1-Assumptions!B8)</f>
        <v>10057520049.085615</v>
      </c>
    </row>
    <row r="10" spans="1:11" x14ac:dyDescent="0.25">
      <c r="A10" t="s">
        <v>53</v>
      </c>
      <c r="B10" s="18">
        <f>B6*Assumptions!B9</f>
        <v>1280597388.660306</v>
      </c>
      <c r="C10" s="18">
        <f>C6*Assumptions!B9</f>
        <v>1599075096.6258926</v>
      </c>
      <c r="D10" s="18">
        <f>D6*Assumptions!B9</f>
        <v>1952043437.64329</v>
      </c>
      <c r="E10" s="18">
        <f>E6*Assumptions!B9</f>
        <v>2328340765.7297797</v>
      </c>
      <c r="F10" s="18">
        <f>F6*Assumptions!B9</f>
        <v>2712072629.8397818</v>
      </c>
      <c r="G10" s="18">
        <f>G6*Assumptions!B9</f>
        <v>3083212502.3694105</v>
      </c>
      <c r="H10" s="18">
        <f>H6*Assumptions!B9</f>
        <v>3418929607.735056</v>
      </c>
      <c r="I10" s="18">
        <f>I6*Assumptions!B9</f>
        <v>3695601905.814955</v>
      </c>
      <c r="J10" s="18">
        <f>J6*Assumptions!B9</f>
        <v>3891327746.2062287</v>
      </c>
      <c r="K10" s="18">
        <f>K6*Assumptions!B9</f>
        <v>3988610939.861384</v>
      </c>
    </row>
    <row r="11" spans="1:11" x14ac:dyDescent="0.25">
      <c r="A11" t="s">
        <v>54</v>
      </c>
      <c r="B11" s="18">
        <f>-B6*B19</f>
        <v>-96934086.56813161</v>
      </c>
      <c r="C11" s="18">
        <f>-C6*C19</f>
        <v>-147813329.20329794</v>
      </c>
      <c r="D11" s="18">
        <f>-D6*D19</f>
        <v>-213122350.67203984</v>
      </c>
      <c r="E11" s="18">
        <f>-E6*E19</f>
        <v>-293188021.88529223</v>
      </c>
      <c r="F11" s="18">
        <f>-F6*F19</f>
        <v>-386914525.7353145</v>
      </c>
      <c r="G11" s="18">
        <f>-G6*G19</f>
        <v>-491482925.79697824</v>
      </c>
      <c r="H11" s="18">
        <f>-H6*H19</f>
        <v>-602239158.1773906</v>
      </c>
      <c r="I11" s="18">
        <f>-I6*I19</f>
        <v>-712847569.1522264</v>
      </c>
      <c r="J11" s="18">
        <f>-J6*J19</f>
        <v>-815751203.0119034</v>
      </c>
      <c r="K11" s="18">
        <f>-K6*K19</f>
        <v>-902923653.1252786</v>
      </c>
    </row>
    <row r="12" spans="1:11" x14ac:dyDescent="0.25">
      <c r="A12" t="s">
        <v>55</v>
      </c>
      <c r="B12" s="18">
        <f>-(B6-Assumptions!B29)*Assumptions!B11</f>
        <v>-567045896.7667451</v>
      </c>
      <c r="C12" s="18">
        <f>-(C6-B6)*Assumptions!B11</f>
        <v>-439044650.6202602</v>
      </c>
      <c r="D12" s="18">
        <f>-(D6-C6)*Assumptions!B11</f>
        <v>-486592493.24521434</v>
      </c>
      <c r="E12" s="18">
        <f>-(E6-D6)*Assumptions!B11</f>
        <v>-518753196.2423012</v>
      </c>
      <c r="F12" s="18">
        <f>-(F6-E6)*Assumptions!B11</f>
        <v>-529002244.1013105</v>
      </c>
      <c r="G12" s="18">
        <f>-(G6-F6)*Assumptions!B11</f>
        <v>-511643269.184875</v>
      </c>
      <c r="H12" s="18">
        <f>-(H6-G6)*Assumptions!B11</f>
        <v>-462810411.9878672</v>
      </c>
      <c r="I12" s="18">
        <f>-(I6-H6)*Assumptions!B11</f>
        <v>-381412856.8770022</v>
      </c>
      <c r="J12" s="18">
        <f>-(J6-I6)*Assumptions!B11</f>
        <v>-269822286.0270926</v>
      </c>
      <c r="K12" s="18">
        <f>-(K6-J6)*Assumptions!B11</f>
        <v>-134111947.87349437</v>
      </c>
    </row>
    <row r="13" spans="1:11" x14ac:dyDescent="0.25">
      <c r="A13" s="19" t="s">
        <v>56</v>
      </c>
      <c r="B13" s="20">
        <f>B9+B10+B11+B12</f>
        <v>3845719994.033998</v>
      </c>
      <c r="C13" s="20">
        <f>C9+C10+C11+C12</f>
        <v>5044380214.882628</v>
      </c>
      <c r="D13" s="20">
        <f>D9+D10+D11+D12</f>
        <v>6174522386.702416</v>
      </c>
      <c r="E13" s="20">
        <f>E9+E10+E11+E12</f>
        <v>7387449465.8588</v>
      </c>
      <c r="F13" s="20">
        <f>F9+F10+F11+F12</f>
        <v>8634808528.929022</v>
      </c>
      <c r="G13" s="20">
        <f>G9+G10+G11+G12</f>
        <v>9854590270.22567</v>
      </c>
      <c r="H13" s="20">
        <f>H9+H10+H11+H12</f>
        <v>10974914677.113447</v>
      </c>
      <c r="I13" s="20">
        <f>I9+I10+I11+I12</f>
        <v>11920021797.717323</v>
      </c>
      <c r="J13" s="20">
        <f>J9+J10+J11+J12</f>
        <v>12617968939.20198</v>
      </c>
      <c r="K13" s="20">
        <f>K9+K10+K11+K12</f>
        <v>13009095387.948225</v>
      </c>
    </row>
    <row r="14" spans="1:11" x14ac:dyDescent="0.25">
      <c r="A14" t="s">
        <v>57</v>
      </c>
      <c r="B14" s="21">
        <f>1/(1+Assumptions!$B$26)^(1-0.5*Assumptions!$B$32)</f>
        <v>0.9406591449287669</v>
      </c>
      <c r="C14" s="21">
        <f>1/(1+Assumptions!$B$26)^(2-0.5*Assumptions!$B$32)</f>
        <v>0.8323324868746997</v>
      </c>
      <c r="D14" s="21">
        <f>1/(1+Assumptions!$B$26)^(3-0.5*Assumptions!$B$32)</f>
        <v>0.736480767174686</v>
      </c>
      <c r="E14" s="21">
        <f>1/(1+Assumptions!$B$26)^(4-0.5*Assumptions!$B$32)</f>
        <v>0.6516673672739487</v>
      </c>
      <c r="F14" s="21">
        <f>1/(1+Assumptions!$B$26)^(5-0.5*Assumptions!$B$32)</f>
        <v>0.5766211101464267</v>
      </c>
      <c r="G14" s="21">
        <f>1/(1+Assumptions!$B$26)^(6-0.5*Assumptions!$B$32)</f>
        <v>0.5102172079866082</v>
      </c>
      <c r="H14" s="21">
        <f>1/(1+Assumptions!$B$26)^(7-0.5*Assumptions!$B$32)</f>
        <v>0.4514604039722789</v>
      </c>
      <c r="I14" s="21">
        <f>1/(1+Assumptions!$B$26)^(8-0.5*Assumptions!$B$32)</f>
        <v>0.3994700554281636</v>
      </c>
      <c r="J14" s="21">
        <f>1/(1+Assumptions!$B$26)^(9-0.5*Assumptions!$B$32)</f>
        <v>0.3534669348180059</v>
      </c>
      <c r="K14" s="21">
        <f>1/(1+Assumptions!$B$26)^(10-0.5*Assumptions!$B$32)</f>
        <v>0.3127615507393247</v>
      </c>
    </row>
    <row r="15" spans="1:11" x14ac:dyDescent="0.25">
      <c r="A15" s="19" t="s">
        <v>58</v>
      </c>
      <c r="B15" s="20">
        <f>B13*B14</f>
        <v>3617511681.223483</v>
      </c>
      <c r="C15" s="20">
        <f>C13*C14</f>
        <v>4198601528.9947906</v>
      </c>
      <c r="D15" s="20">
        <f>D13*D14</f>
        <v>4547416984.295869</v>
      </c>
      <c r="E15" s="20">
        <f>E13*E14</f>
        <v>4814159744.2855425</v>
      </c>
      <c r="F15" s="20">
        <f>F13*F14</f>
        <v>4979012879.852886</v>
      </c>
      <c r="G15" s="20">
        <f>G13*G14</f>
        <v>5027981533.526536</v>
      </c>
      <c r="H15" s="20">
        <f>H13*H14</f>
        <v>4954739413.690929</v>
      </c>
      <c r="I15" s="20">
        <f>I13*I14</f>
        <v>4761691768.239058</v>
      </c>
      <c r="J15" s="20">
        <f>J13*J14</f>
        <v>4460034804.568529</v>
      </c>
      <c r="K15" s="20">
        <f>K13*K14</f>
        <v>4068744847.250484</v>
      </c>
    </row>
    <row r="17" spans="1:2" x14ac:dyDescent="0.25">
      <c r="A17" s="22" t="s">
        <v>59</v>
      </c>
      <c r="B17" s="23">
        <f>SUM(B15:K15)</f>
        <v>45429895185.9281</v>
      </c>
    </row>
    <row r="19" spans="1:11" x14ac:dyDescent="0.25">
      <c r="A19" t="s">
        <v>7</v>
      </c>
      <c r="B19" s="9">
        <f>Assumptions!$B$10+($B$20-Assumptions!$B$10)*0/9</f>
        <v>0.01200551467563269</v>
      </c>
      <c r="C19" s="9">
        <f>Assumptions!$B$10+($B$20-Assumptions!$B$10)*1/9</f>
        <v>0.014660933086155688</v>
      </c>
      <c r="D19" s="9">
        <f>Assumptions!$B$10+($B$20-Assumptions!$B$10)*2/9</f>
        <v>0.017316351496678685</v>
      </c>
      <c r="E19" s="9">
        <f>Assumptions!$B$10+($B$20-Assumptions!$B$10)*3/9</f>
        <v>0.019971769907201682</v>
      </c>
      <c r="F19" s="9">
        <f>Assumptions!$B$10+($B$20-Assumptions!$B$10)*4/9</f>
        <v>0.02262718831772468</v>
      </c>
      <c r="G19" s="9">
        <f>Assumptions!$B$10+($B$20-Assumptions!$B$10)*5/9</f>
        <v>0.025282606728247677</v>
      </c>
      <c r="H19" s="9">
        <f>Assumptions!$B$10+($B$20-Assumptions!$B$10)*6/9</f>
        <v>0.027938025138770674</v>
      </c>
      <c r="I19" s="9">
        <f>Assumptions!$B$10+($B$20-Assumptions!$B$10)*7/9</f>
        <v>0.03059344354929367</v>
      </c>
      <c r="J19" s="9">
        <f>Assumptions!$B$10+($B$20-Assumptions!$B$10)*8/9</f>
        <v>0.03324886195981667</v>
      </c>
      <c r="K19" s="9">
        <f>Assumptions!$B$10+($B$20-Assumptions!$B$10)*9/9</f>
        <v>0.035904280370339665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0.035904280370339665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13009095387.948225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13698035422.136316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0.0659162883800209</v>
      </c>
    </row>
    <row r="7" spans="1:2" x14ac:dyDescent="0.25">
      <c r="A7" t="s">
        <v>66</v>
      </c>
      <c r="B7" s="18">
        <f>-MAX(B5,0)*B6</f>
        <v>-902923653.1252787</v>
      </c>
    </row>
    <row r="8" spans="1:2" x14ac:dyDescent="0.25">
      <c r="A8" t="s">
        <v>67</v>
      </c>
      <c r="B8" s="18">
        <f>IF(OR(Assumptions!$B$33=0,Assumptions!B12&lt;=0),B5,MAX(B5+B7,0))</f>
        <v>12795111769.011038</v>
      </c>
    </row>
    <row r="9" spans="1:2" x14ac:dyDescent="0.25">
      <c r="A9" t="s">
        <v>68</v>
      </c>
      <c r="B9" s="18">
        <f>B8*(1+Assumptions!B12)/(Assumptions!B26-Assumptions!B12)</f>
        <v>124728498561.85912</v>
      </c>
    </row>
    <row r="10" spans="1:2" x14ac:dyDescent="0.25">
      <c r="A10" t="s">
        <v>69</v>
      </c>
      <c r="B10" s="18">
        <f>B9/(1+Assumptions!B26)^(10-0.5*Assumptions!B32)</f>
        <v>39010278631.59469</v>
      </c>
    </row>
    <row r="11" spans="1:2" x14ac:dyDescent="0.25">
      <c r="A11" t="s">
        <v>70</v>
      </c>
      <c r="B11" s="18">
        <f>Forecast!B17+B10</f>
        <v>84440173817.5228</v>
      </c>
    </row>
    <row r="12" spans="1:2" x14ac:dyDescent="0.25">
      <c r="A12" t="s">
        <v>71</v>
      </c>
      <c r="B12" s="18">
        <f>-Assumptions!B30</f>
        <v>-1057645000</v>
      </c>
    </row>
    <row r="13" spans="1:2" x14ac:dyDescent="0.25">
      <c r="A13" t="s">
        <v>72</v>
      </c>
      <c r="B13" s="18">
        <f>B11+B12</f>
        <v>83382528817.5228</v>
      </c>
    </row>
    <row r="14" spans="1:2" x14ac:dyDescent="0.25">
      <c r="A14" s="19" t="s">
        <v>73</v>
      </c>
      <c r="B14" s="24">
        <f>B13/Assumptions!B31</f>
        <v>243.82995238624088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15007802011.712791</v>
      </c>
    </row>
    <row r="18" spans="1:2" x14ac:dyDescent="0.25">
      <c r="A18" t="s">
        <v>68</v>
      </c>
      <c r="B18" s="18">
        <f>B17*Assumptions!B13</f>
        <v>269094084238.24435</v>
      </c>
    </row>
    <row r="19" spans="1:2" x14ac:dyDescent="0.25">
      <c r="A19" t="s">
        <v>69</v>
      </c>
      <c r="B19" s="18">
        <f>B18/(1+Assumptions!B26)^(10-0.5*Assumptions!B32)</f>
        <v>84162283081.13177</v>
      </c>
    </row>
    <row r="20" spans="1:2" x14ac:dyDescent="0.25">
      <c r="A20" t="s">
        <v>70</v>
      </c>
      <c r="B20" s="18">
        <f>Forecast!B17+B19</f>
        <v>129592178267.05988</v>
      </c>
    </row>
    <row r="21" spans="1:2" x14ac:dyDescent="0.25">
      <c r="A21" t="s">
        <v>71</v>
      </c>
      <c r="B21" s="18">
        <f>-Assumptions!B30</f>
        <v>-1057645000</v>
      </c>
    </row>
    <row r="22" spans="1:2" x14ac:dyDescent="0.25">
      <c r="A22" t="s">
        <v>72</v>
      </c>
      <c r="B22" s="18">
        <f>B20+B21</f>
        <v>128534533267.05988</v>
      </c>
    </row>
    <row r="23" spans="1:2" x14ac:dyDescent="0.25">
      <c r="A23" s="19" t="s">
        <v>73</v>
      </c>
      <c r="B23" s="25">
        <f>B22/Assumptions!B31</f>
        <v>375.86493922583816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228.85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243.82995238624088</v>
      </c>
    </row>
    <row r="29" spans="1:2" x14ac:dyDescent="0.25">
      <c r="A29" s="19" t="s">
        <v>81</v>
      </c>
      <c r="B29" s="11">
        <f>B28/B26-1</f>
        <v>0.0654575153429795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0.110148</v>
      </c>
      <c r="B5" s="31">
        <v>296.78373055470314</v>
      </c>
      <c r="C5" s="31">
        <v>302.7218225848268</v>
      </c>
      <c r="D5" s="31">
        <v>309.4604357260989</v>
      </c>
      <c r="E5" s="31">
        <v>317.14939051886023</v>
      </c>
      <c r="F5" s="31">
        <v>325.97838096391365</v>
      </c>
    </row>
    <row r="6" spans="1:6" x14ac:dyDescent="0.25">
      <c r="A6" s="30">
        <v>0.120148</v>
      </c>
      <c r="B6" s="31">
        <v>264.3399433148572</v>
      </c>
      <c r="C6" s="31">
        <v>268.46258104096614</v>
      </c>
      <c r="D6" s="31">
        <v>273.10582765668585</v>
      </c>
      <c r="E6" s="31">
        <v>278.35630885913827</v>
      </c>
      <c r="F6" s="31">
        <v>284.3209974345427</v>
      </c>
    </row>
    <row r="7" spans="1:6" x14ac:dyDescent="0.25">
      <c r="A7" s="30">
        <v>0.130148</v>
      </c>
      <c r="B7" s="31">
        <v>237.72298226126634</v>
      </c>
      <c r="C7" s="31">
        <v>240.60252650469587</v>
      </c>
      <c r="D7" s="32">
        <v>243.83074427212796</v>
      </c>
      <c r="E7" s="31">
        <v>247.45985930103166</v>
      </c>
      <c r="F7" s="31">
        <v>251.55307269833574</v>
      </c>
    </row>
    <row r="8" spans="1:6" x14ac:dyDescent="0.25">
      <c r="A8" s="30">
        <v>0.140148</v>
      </c>
      <c r="B8" s="31">
        <v>215.52520824917312</v>
      </c>
      <c r="C8" s="31">
        <v>217.53398707609747</v>
      </c>
      <c r="D8" s="31">
        <v>219.7819560536907</v>
      </c>
      <c r="E8" s="31">
        <v>222.3016881951715</v>
      </c>
      <c r="F8" s="31">
        <v>225.1319521643122</v>
      </c>
    </row>
    <row r="9" spans="1:6" x14ac:dyDescent="0.25">
      <c r="A9" s="30">
        <v>0.150148</v>
      </c>
      <c r="B9" s="31">
        <v>196.75632606830897</v>
      </c>
      <c r="C9" s="31">
        <v>198.144033612844</v>
      </c>
      <c r="D9" s="31">
        <v>199.6991120945509</v>
      </c>
      <c r="E9" s="31">
        <v>201.44245710934126</v>
      </c>
      <c r="F9" s="31">
        <v>203.3985935989964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5480717000</v>
      </c>
      <c r="C5" s="18">
        <v>3224058000</v>
      </c>
      <c r="D5" s="18">
        <v>1841762000</v>
      </c>
      <c r="E5" s="18">
        <v>2817058000</v>
      </c>
      <c r="F5" s="6" t="s">
        <v>91</v>
      </c>
    </row>
    <row r="6" spans="1:6" x14ac:dyDescent="0.25">
      <c r="A6" t="s">
        <v>51</v>
      </c>
      <c r="B6" s="18">
        <v>4151914000</v>
      </c>
      <c r="C6" s="18">
        <v>1910956000</v>
      </c>
      <c r="D6" s="18">
        <v>772411000</v>
      </c>
      <c r="E6" s="18">
        <v>-47791000</v>
      </c>
      <c r="F6" s="6" t="s">
        <v>92</v>
      </c>
    </row>
    <row r="7" spans="1:6" x14ac:dyDescent="0.25">
      <c r="A7" t="s">
        <v>93</v>
      </c>
      <c r="B7" s="18">
        <v>194778000</v>
      </c>
      <c r="C7" s="18">
        <v>448680000</v>
      </c>
      <c r="D7" s="18">
        <v>489008000</v>
      </c>
      <c r="E7" s="18">
        <v>547084000</v>
      </c>
      <c r="F7" s="6" t="s">
        <v>94</v>
      </c>
    </row>
    <row r="8" spans="1:6" x14ac:dyDescent="0.25">
      <c r="A8" t="s">
        <v>95</v>
      </c>
      <c r="B8" s="18">
        <v>28318000</v>
      </c>
      <c r="C8" s="18">
        <v>25553000</v>
      </c>
      <c r="D8" s="18">
        <v>63899000</v>
      </c>
      <c r="E8" s="18">
        <v>662000</v>
      </c>
      <c r="F8" s="6" t="s">
        <v>96</v>
      </c>
    </row>
    <row r="9" spans="1:6" x14ac:dyDescent="0.25">
      <c r="A9" t="s">
        <v>97</v>
      </c>
      <c r="B9" s="18">
        <v>-77922000</v>
      </c>
      <c r="C9" s="18">
        <v>349539000</v>
      </c>
      <c r="D9" s="18">
        <v>208674000</v>
      </c>
      <c r="E9" s="18">
        <v>292439000</v>
      </c>
      <c r="F9" s="6" t="s">
        <v>98</v>
      </c>
    </row>
    <row r="10" spans="1:6" x14ac:dyDescent="0.25">
      <c r="A10" t="s">
        <v>99</v>
      </c>
      <c r="B10" s="18">
        <v>3544741000</v>
      </c>
      <c r="C10" s="18">
        <v>3554610000</v>
      </c>
      <c r="D10" s="18">
        <v>3177416000</v>
      </c>
      <c r="E10" s="18">
        <v>3280209000</v>
      </c>
      <c r="F10" s="6" t="s">
        <v>100</v>
      </c>
    </row>
    <row r="11" spans="1:6" x14ac:dyDescent="0.25">
      <c r="A11" t="s">
        <v>101</v>
      </c>
      <c r="B11" s="18">
        <v>2487096000</v>
      </c>
      <c r="C11" s="18">
        <v>697030000</v>
      </c>
      <c r="D11" s="18">
        <v>502152000</v>
      </c>
      <c r="E11" s="18">
        <v>1080484000</v>
      </c>
      <c r="F11" s="6" t="s">
        <v>102</v>
      </c>
    </row>
    <row r="12" spans="1:6" x14ac:dyDescent="0.25">
      <c r="A12" t="s">
        <v>34</v>
      </c>
      <c r="B12" s="34">
        <v>341970000</v>
      </c>
      <c r="C12" s="34">
        <v>347807555</v>
      </c>
      <c r="D12" s="34">
        <v>362589246</v>
      </c>
      <c r="E12" s="34">
        <v>371568011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