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<sst xmlns="http://schemas.openxmlformats.org/spreadsheetml/2006/main" count="111" uniqueCount="99">
  <si>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Aptiv PLC (APTV)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</si>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</sst>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0.052626267311163044</v>
      </c>
    </row>
    <row r="7" spans="1:2" x14ac:dyDescent="0.25">
      <c r="A7" t="s">
        <v>5</v>
      </c>
      <c r="B7" s="6">
        <v>0.09186638309189694</v>
      </c>
    </row>
    <row r="8" spans="1:2" x14ac:dyDescent="0.25">
      <c r="A8" t="s">
        <v>6</v>
      </c>
      <c r="B8" s="6">
        <v>0.12222222222222222</v>
      </c>
    </row>
    <row r="9" spans="1:2" x14ac:dyDescent="0.25">
      <c r="A9" t="s">
        <v>7</v>
      </c>
      <c r="B9" s="6">
        <v>0.0466347985781639</v>
      </c>
    </row>
    <row r="10" spans="1:2" x14ac:dyDescent="0.25">
      <c r="A10" t="s">
        <v>8</v>
      </c>
      <c r="B10" s="6">
        <v>0.04192697382519435</v>
      </c>
    </row>
    <row r="11" spans="1:2" x14ac:dyDescent="0.25">
      <c r="A11" t="s">
        <v>9</v>
      </c>
      <c r="B11" s="6">
        <v>0.1804733727810651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5.084353936170213</v>
      </c>
    </row>
    <row r="14" spans="1:3" x14ac:dyDescent="0.25">
      <c r="A14" t="s">
        <v>12</v>
      </c>
      <c r="B14" s="6">
        <v>0.09582229615731805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1.2211</v>
      </c>
      <c r="C19" s="8" t="s">
        <v>19</v>
      </c>
    </row>
    <row r="20" spans="1:2" x14ac:dyDescent="0.25">
      <c r="A20" t="s">
        <v>20</v>
      </c>
      <c r="B20" s="10">
        <f>B17+B19*B18</f>
        <v>0.11714050000000001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9050736640</v>
      </c>
    </row>
    <row r="23" spans="1:2" x14ac:dyDescent="0.25">
      <c r="A23" t="s">
        <v>24</v>
      </c>
      <c r="B23" s="11">
        <v>8094000000</v>
      </c>
    </row>
    <row r="24" spans="1:2" x14ac:dyDescent="0.25">
      <c r="A24" t="s">
        <v>25</v>
      </c>
      <c r="B24" s="10">
        <f>B22/(B22+B23)</f>
        <v>0.5279017595921497</v>
      </c>
    </row>
    <row r="25" spans="1:2" x14ac:dyDescent="0.25">
      <c r="A25" t="s">
        <v>26</v>
      </c>
      <c r="B25" s="10">
        <f>1-B24</f>
        <v>0.4720982404078503</v>
      </c>
    </row>
    <row r="26" spans="1:2" x14ac:dyDescent="0.25">
      <c r="A26" t="s">
        <v>27</v>
      </c>
      <c r="B26" s="12">
        <f>B24*B20+B25*B21*(1-B8)</f>
        <v>0.08255025534051716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20398000000</v>
      </c>
      <c r="C29" s="8" t="s">
        <v>30</v>
      </c>
    </row>
    <row r="30" spans="1:2" x14ac:dyDescent="0.25">
      <c r="A30" t="s">
        <v>31</v>
      </c>
      <c r="B30" s="11">
        <v>6243000000</v>
      </c>
    </row>
    <row r="31" spans="1:2" x14ac:dyDescent="0.25">
      <c r="A31" t="s">
        <v>32</v>
      </c>
      <c r="B31" s="13">
        <v>220750000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0.052626267311163044</v>
      </c>
      <c r="C5" s="10">
        <f>Assumptions!B6</f>
        <v>0.052626267311163044</v>
      </c>
      <c r="D5" s="10">
        <f>Assumptions!B6</f>
        <v>0.052626267311163044</v>
      </c>
      <c r="E5" s="10">
        <f>Assumptions!B6</f>
        <v>0.052626267311163044</v>
      </c>
      <c r="F5" s="10">
        <f>Assumptions!B6</f>
        <v>0.052626267311163044</v>
      </c>
    </row>
    <row r="6" spans="1:6" x14ac:dyDescent="0.25">
      <c r="A6" t="s">
        <v>43</v>
      </c>
      <c r="B6" s="18">
        <f>Assumptions!B29*(1+B5)</f>
        <v>21471470600.613102</v>
      </c>
      <c r="C6" s="18">
        <f>B6*(1+C5)</f>
        <v>22601433952.004745</v>
      </c>
      <c r="D6" s="18">
        <f>C6*(1+D5)</f>
        <v>23790863056.77854</v>
      </c>
      <c r="E6" s="18">
        <f>D6*(1+E5)</f>
        <v>25042887375.567844</v>
      </c>
      <c r="F6" s="18">
        <f>E6*(1+F5)</f>
        <v>26360801060.83783</v>
      </c>
    </row>
    <row r="7" spans="1:6" x14ac:dyDescent="0.25">
      <c r="A7" t="s">
        <v>5</v>
      </c>
      <c r="B7" s="10">
        <f>Assumptions!B7</f>
        <v>0.09186638309189694</v>
      </c>
      <c r="C7" s="10">
        <f>Assumptions!B7</f>
        <v>0.09186638309189694</v>
      </c>
      <c r="D7" s="10">
        <f>Assumptions!B7</f>
        <v>0.09186638309189694</v>
      </c>
      <c r="E7" s="10">
        <f>Assumptions!B7</f>
        <v>0.09186638309189694</v>
      </c>
      <c r="F7" s="10">
        <f>Assumptions!B7</f>
        <v>0.09186638309189694</v>
      </c>
    </row>
    <row r="8" spans="1:6" x14ac:dyDescent="0.25">
      <c r="A8" t="s">
        <v>44</v>
      </c>
      <c r="B8" s="18">
        <f>B6*B7</f>
        <v>1972506343.7423258</v>
      </c>
      <c r="C8" s="18">
        <f>C6*C7</f>
        <v>2076311989.8610742</v>
      </c>
      <c r="D8" s="18">
        <f>D6*D7</f>
        <v>2185580539.660876</v>
      </c>
      <c r="E8" s="18">
        <f>E6*E7</f>
        <v>2300599485.3711452</v>
      </c>
      <c r="F8" s="18">
        <f>F6*F7</f>
        <v>2421671448.8642116</v>
      </c>
    </row>
    <row r="9" spans="1:6" x14ac:dyDescent="0.25">
      <c r="A9" t="s">
        <v>45</v>
      </c>
      <c r="B9" s="18">
        <f>B8*(1-Assumptions!B8)</f>
        <v>1731422235.0627081</v>
      </c>
      <c r="C9" s="18">
        <f>C8*(1-Assumptions!B8)</f>
        <v>1822540524.4336095</v>
      </c>
      <c r="D9" s="18">
        <f>D8*(1-Assumptions!B8)</f>
        <v>1918454029.2578797</v>
      </c>
      <c r="E9" s="18">
        <f>E8*(1-Assumptions!B8)</f>
        <v>2019415103.825783</v>
      </c>
      <c r="F9" s="18">
        <f>F8*(1-Assumptions!B8)</f>
        <v>2125689382.891919</v>
      </c>
    </row>
    <row r="10" spans="1:6" x14ac:dyDescent="0.25">
      <c r="A10" t="s">
        <v>46</v>
      </c>
      <c r="B10" s="18">
        <f>B6*Assumptions!B9</f>
        <v>1001317706.6365598</v>
      </c>
      <c r="C10" s="18">
        <f>C6*Assumptions!B9</f>
        <v>1054013319.9294162</v>
      </c>
      <c r="D10" s="18">
        <f>D6*Assumptions!B9</f>
        <v>1109482106.653548</v>
      </c>
      <c r="E10" s="18">
        <f>E6*Assumptions!B9</f>
        <v>1167870008.57525</v>
      </c>
      <c r="F10" s="18">
        <f>F6*Assumptions!B9</f>
        <v>1229330647.8312213</v>
      </c>
    </row>
    <row r="11" spans="1:6" x14ac:dyDescent="0.25">
      <c r="A11" t="s">
        <v>47</v>
      </c>
      <c r="B11" s="18">
        <f>-B6*Assumptions!B10</f>
        <v>-900233785.8603355</v>
      </c>
      <c r="C11" s="18">
        <f>-C6*Assumptions!B10</f>
        <v>-947609729.7175618</v>
      </c>
      <c r="D11" s="18">
        <f>-D6*Assumptions!B10</f>
        <v>-997478892.6603371</v>
      </c>
      <c r="E11" s="18">
        <f>-E6*Assumptions!B10</f>
        <v>-1049972483.502723</v>
      </c>
      <c r="F11" s="18">
        <f>-F6*Assumptions!B10</f>
        <v>-1105228616.0889032</v>
      </c>
    </row>
    <row r="12" spans="1:6" x14ac:dyDescent="0.25">
      <c r="A12" t="s">
        <v>48</v>
      </c>
      <c r="B12" s="18">
        <f>-(B6-Assumptions!B29)*Assumptions!B11</f>
        <v>-193732859.8739622</v>
      </c>
      <c r="C12" s="18">
        <f>-(C6-B6)*Assumptions!B11</f>
        <v>-203928297.14464572</v>
      </c>
      <c r="D12" s="18">
        <f>-(D6-C6)*Assumptions!B11</f>
        <v>-214660282.22248983</v>
      </c>
      <c r="E12" s="18">
        <f>-(E6-D6)*Assumptions!B11</f>
        <v>-225957051.61582094</v>
      </c>
      <c r="F12" s="18">
        <f>-(F6-E6)*Assumptions!B11</f>
        <v>-237848327.81499735</v>
      </c>
    </row>
    <row r="13" spans="1:6" x14ac:dyDescent="0.25">
      <c r="A13" s="19" t="s">
        <v>49</v>
      </c>
      <c r="B13" s="20">
        <f>B9+B10+B11+B12</f>
        <v>1638773295.9649704</v>
      </c>
      <c r="C13" s="20">
        <f>C9+C10+C11+C12</f>
        <v>1725015817.5008183</v>
      </c>
      <c r="D13" s="20">
        <f>D9+D10+D11+D12</f>
        <v>1815796961.0286007</v>
      </c>
      <c r="E13" s="20">
        <f>E9+E10+E11+E12</f>
        <v>1911355577.282489</v>
      </c>
      <c r="F13" s="20">
        <f>F9+F10+F11+F12</f>
        <v>2011943086.8192399</v>
      </c>
    </row>
    <row r="14" spans="1:6" x14ac:dyDescent="0.25">
      <c r="A14" t="s">
        <v>50</v>
      </c>
      <c r="B14" s="21">
        <f>1/(1+Assumptions!$B$26)^(1-0.5*Assumptions!$B$32)</f>
        <v>0.9611163528865942</v>
      </c>
      <c r="C14" s="21">
        <f>1/(1+Assumptions!$B$26)^(2-0.5*Assumptions!$B$32)</f>
        <v>0.8878260830341538</v>
      </c>
      <c r="D14" s="21">
        <f>1/(1+Assumptions!$B$26)^(3-0.5*Assumptions!$B$32)</f>
        <v>0.8201245888163292</v>
      </c>
      <c r="E14" s="21">
        <f>1/(1+Assumptions!$B$26)^(4-0.5*Assumptions!$B$32)</f>
        <v>0.757585696156303</v>
      </c>
      <c r="F14" s="21">
        <f>1/(1+Assumptions!$B$26)^(5-0.5*Assumptions!$B$32)</f>
        <v>0.6998157290332945</v>
      </c>
    </row>
    <row r="15" spans="1:6" x14ac:dyDescent="0.25">
      <c r="A15" s="19" t="s">
        <v>51</v>
      </c>
      <c r="B15" s="20">
        <f>B13*B14</f>
        <v>1575051813.4257956</v>
      </c>
      <c r="C15" s="20">
        <f>C13*C14</f>
        <v>1531514036.42371</v>
      </c>
      <c r="D15" s="20">
        <f>D13*D14</f>
        <v>1489179736.0375214</v>
      </c>
      <c r="E15" s="20">
        <f>E13*E14</f>
        <v>1448015645.617787</v>
      </c>
      <c r="F15" s="20">
        <f>F13*F14</f>
        <v>1407989418.0759032</v>
      </c>
    </row>
    <row r="17" spans="1:2" x14ac:dyDescent="0.25">
      <c r="A17" s="22" t="s">
        <v>52</v>
      </c>
      <c r="B17" s="23">
        <f>SUM(B15:F15)</f>
        <v>7451750649.580717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2011943086.8192399</v>
      </c>
    </row>
    <row r="5" spans="1:2" x14ac:dyDescent="0.25">
      <c r="A5" t="s">
        <v>56</v>
      </c>
      <c r="B5" s="18">
        <f>IF(Assumptions!$B$33=0,B4,B4-Forecast!F11-Forecast!F10-Forecast!F12)</f>
        <v>2363098712.4684196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0.2608996131647251</v>
      </c>
    </row>
    <row r="7" spans="1:2" x14ac:dyDescent="0.25">
      <c r="A7" t="s">
        <v>58</v>
      </c>
      <c r="B7" s="18">
        <f>-MAX(Forecast!F9,0)*B6</f>
        <v>-616531539.9530706</v>
      </c>
    </row>
    <row r="8" spans="1:2" x14ac:dyDescent="0.25">
      <c r="A8" t="s">
        <v>59</v>
      </c>
      <c r="B8" s="18">
        <f>IF(OR(Assumptions!$B$33=0,Assumptions!B12&lt;=0),B5,MAX(B5+B7,0))</f>
        <v>1746567172.515349</v>
      </c>
    </row>
    <row r="9" spans="1:2" x14ac:dyDescent="0.25">
      <c r="A9" t="s">
        <v>60</v>
      </c>
      <c r="B9" s="18">
        <f>B8*(1+Assumptions!B12)/(Assumptions!B26-Assumptions!B12)</f>
        <v>31107270354.15696</v>
      </c>
    </row>
    <row r="10" spans="1:2" x14ac:dyDescent="0.25">
      <c r="A10" t="s">
        <v>61</v>
      </c>
      <c r="B10" s="18">
        <f>B9/(1+Assumptions!B26)^(5-0.5*Assumptions!B32)</f>
        <v>21769357081.130142</v>
      </c>
    </row>
    <row r="11" spans="1:2" x14ac:dyDescent="0.25">
      <c r="A11" t="s">
        <v>62</v>
      </c>
      <c r="B11" s="18">
        <f>Forecast!B17+B10</f>
        <v>29221107730.71086</v>
      </c>
    </row>
    <row r="12" spans="1:2" x14ac:dyDescent="0.25">
      <c r="A12" t="s">
        <v>63</v>
      </c>
      <c r="B12" s="18">
        <f>-Assumptions!B30</f>
        <v>-6243000000</v>
      </c>
    </row>
    <row r="13" spans="1:2" x14ac:dyDescent="0.25">
      <c r="A13" t="s">
        <v>64</v>
      </c>
      <c r="B13" s="18">
        <f>B11+B12</f>
        <v>22978107730.71086</v>
      </c>
    </row>
    <row r="14" spans="1:2" x14ac:dyDescent="0.25">
      <c r="A14" s="19" t="s">
        <v>65</v>
      </c>
      <c r="B14" s="24">
        <f>B13/Assumptions!B31</f>
        <v>104.09108824784082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3651002096.6954327</v>
      </c>
    </row>
    <row r="18" spans="1:2" x14ac:dyDescent="0.25">
      <c r="A18" t="s">
        <v>60</v>
      </c>
      <c r="B18" s="18">
        <f>B17*Assumptions!B13</f>
        <v>18562986881.29912</v>
      </c>
    </row>
    <row r="19" spans="1:2" x14ac:dyDescent="0.25">
      <c r="A19" t="s">
        <v>61</v>
      </c>
      <c r="B19" s="18">
        <f>B18/(1+Assumptions!B26)^(5-0.5*Assumptions!B32)</f>
        <v>12990670197.371826</v>
      </c>
    </row>
    <row r="20" spans="1:2" x14ac:dyDescent="0.25">
      <c r="A20" t="s">
        <v>62</v>
      </c>
      <c r="B20" s="18">
        <f>Forecast!B17+B19</f>
        <v>20442420846.952545</v>
      </c>
    </row>
    <row r="21" spans="1:2" x14ac:dyDescent="0.25">
      <c r="A21" t="s">
        <v>63</v>
      </c>
      <c r="B21" s="18">
        <f>-Assumptions!B30</f>
        <v>-6243000000</v>
      </c>
    </row>
    <row r="22" spans="1:2" x14ac:dyDescent="0.25">
      <c r="A22" t="s">
        <v>64</v>
      </c>
      <c r="B22" s="18">
        <f>B20+B21</f>
        <v>14199420846.952545</v>
      </c>
    </row>
    <row r="23" spans="1:2" x14ac:dyDescent="0.25">
      <c r="A23" s="19" t="s">
        <v>65</v>
      </c>
      <c r="B23" s="25">
        <f>B22/Assumptions!B31</f>
        <v>64.32353724553815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43.59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104.09108824784082</v>
      </c>
    </row>
    <row r="29" spans="1:2" x14ac:dyDescent="0.25">
      <c r="A29" s="19" t="s">
        <v>73</v>
      </c>
      <c r="B29" s="12">
        <f>B28/B26-1</f>
        <v>1.3879579776976554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0.06255</v>
      </c>
      <c r="B5" s="31">
        <v>153.74811800192694</v>
      </c>
      <c r="C5" s="31">
        <v>161.60162470122873</v>
      </c>
      <c r="D5" s="31">
        <v>171.43339661027798</v>
      </c>
      <c r="E5" s="31">
        <v>184.15507668287546</v>
      </c>
      <c r="F5" s="31">
        <v>201.34011763964634</v>
      </c>
    </row>
    <row r="6" spans="1:6" x14ac:dyDescent="0.25">
      <c r="A6" s="30">
        <v>0.07255</v>
      </c>
      <c r="B6" s="31">
        <v>122.4480403090355</v>
      </c>
      <c r="C6" s="31">
        <v>126.2195233983614</v>
      </c>
      <c r="D6" s="31">
        <v>130.6984533623201</v>
      </c>
      <c r="E6" s="31">
        <v>136.13422392874938</v>
      </c>
      <c r="F6" s="31">
        <v>142.9090617031633</v>
      </c>
    </row>
    <row r="7" spans="1:6" x14ac:dyDescent="0.25">
      <c r="A7" s="30">
        <v>0.08255</v>
      </c>
      <c r="B7" s="31">
        <v>100.4203484727976</v>
      </c>
      <c r="C7" s="31">
        <v>102.14051174999351</v>
      </c>
      <c r="D7" s="32">
        <v>104.09164992067728</v>
      </c>
      <c r="E7" s="31">
        <v>106.33969302104904</v>
      </c>
      <c r="F7" s="31">
        <v>108.97830191220915</v>
      </c>
    </row>
    <row r="8" spans="1:6" x14ac:dyDescent="0.25">
      <c r="A8" s="30">
        <v>0.09255</v>
      </c>
      <c r="B8" s="31">
        <v>84.0778090177791</v>
      </c>
      <c r="C8" s="31">
        <v>84.69119424463702</v>
      </c>
      <c r="D8" s="31">
        <v>85.33986104838559</v>
      </c>
      <c r="E8" s="31">
        <v>86.03227023883086</v>
      </c>
      <c r="F8" s="31">
        <v>86.77982295933414</v>
      </c>
    </row>
    <row r="9" spans="1:6" x14ac:dyDescent="0.25">
      <c r="A9" s="30">
        <v>0.10255</v>
      </c>
      <c r="B9" s="31">
        <v>72.29354082455897</v>
      </c>
      <c r="C9" s="31">
        <v>72.62991540555892</v>
      </c>
      <c r="D9" s="31">
        <v>72.96628998655882</v>
      </c>
      <c r="E9" s="31">
        <v>73.3026645675588</v>
      </c>
      <c r="F9" s="31">
        <v>73.63903914855871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20398000000</v>
      </c>
      <c r="C5" s="18">
        <v>19713000000</v>
      </c>
      <c r="D5" s="18">
        <v>20051000000</v>
      </c>
      <c r="E5" s="18">
        <v>17489000000</v>
      </c>
      <c r="F5" s="8" t="s">
        <v>84</v>
      </c>
    </row>
    <row r="6" spans="1:6" x14ac:dyDescent="0.25">
      <c r="A6" t="s">
        <v>44</v>
      </c>
      <c r="B6" s="18">
        <v>2017000000</v>
      </c>
      <c r="C6" s="18">
        <v>2035000000</v>
      </c>
      <c r="D6" s="18">
        <v>1770000000</v>
      </c>
      <c r="E6" s="18">
        <v>1348000000</v>
      </c>
      <c r="F6" s="8" t="s">
        <v>85</v>
      </c>
    </row>
    <row r="7" spans="1:6" x14ac:dyDescent="0.25">
      <c r="A7" t="s">
        <v>86</v>
      </c>
      <c r="B7" s="18">
        <v>991000000</v>
      </c>
      <c r="C7" s="18">
        <v>964000000</v>
      </c>
      <c r="D7" s="18">
        <v>912000000</v>
      </c>
      <c r="E7" s="18">
        <v>762000000</v>
      </c>
      <c r="F7" s="8" t="s">
        <v>87</v>
      </c>
    </row>
    <row r="8" spans="1:6" x14ac:dyDescent="0.25">
      <c r="A8" t="s">
        <v>88</v>
      </c>
      <c r="B8" s="18">
        <v>656000000</v>
      </c>
      <c r="C8" s="18">
        <v>830000000</v>
      </c>
      <c r="D8" s="18">
        <v>906000000</v>
      </c>
      <c r="E8" s="18">
        <v>844000000</v>
      </c>
      <c r="F8" s="8" t="s">
        <v>89</v>
      </c>
    </row>
    <row r="9" spans="1:6" x14ac:dyDescent="0.25">
      <c r="A9" t="s">
        <v>90</v>
      </c>
      <c r="B9" s="18">
        <v>193000000</v>
      </c>
      <c r="C9" s="18">
        <v>-61000000</v>
      </c>
      <c r="D9" s="18">
        <v>343000000</v>
      </c>
      <c r="E9" s="18">
        <v>403000000</v>
      </c>
      <c r="F9" s="8" t="s">
        <v>91</v>
      </c>
    </row>
    <row r="10" spans="1:6" x14ac:dyDescent="0.25">
      <c r="A10" t="s">
        <v>92</v>
      </c>
      <c r="B10" s="18">
        <v>8094000000</v>
      </c>
      <c r="C10" s="18">
        <v>8888000000</v>
      </c>
      <c r="D10" s="18">
        <v>6787000000</v>
      </c>
      <c r="E10" s="18">
        <v>6961000000</v>
      </c>
      <c r="F10" s="8" t="s">
        <v>93</v>
      </c>
    </row>
    <row r="11" spans="1:6" x14ac:dyDescent="0.25">
      <c r="A11" t="s">
        <v>94</v>
      </c>
      <c r="B11" s="18">
        <v>1851000000</v>
      </c>
      <c r="C11" s="18">
        <v>1573000000</v>
      </c>
      <c r="D11" s="18">
        <v>1640000000</v>
      </c>
      <c r="E11" s="18">
        <v>1531000000</v>
      </c>
      <c r="F11" s="8" t="s">
        <v>95</v>
      </c>
    </row>
    <row r="12" spans="1:6" x14ac:dyDescent="0.25">
      <c r="A12" t="s">
        <v>32</v>
      </c>
      <c r="B12" s="34">
        <v>220750000</v>
      </c>
      <c r="C12" s="34">
        <v>256660000</v>
      </c>
      <c r="D12" s="34">
        <v>282880000</v>
      </c>
      <c r="E12" s="34">
        <v>271180000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2026-09-19T01:04:48Z</dcterms:modified>
</cp:coreProperties>
</file>