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<sst xmlns="http://schemas.openxmlformats.org/spreadsheetml/2006/main" count="119" uniqueCount="106">
  <si>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Aptiv PLC (APTV)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</si>
  <si>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</si>
  <si>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</si>
  <si>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</si>
  <si>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</si>
  <si>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</si>
  <si>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</si>
  <si>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</si>
  <si>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</si>
  <si>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</si>
  <si>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</si>
  <si>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</si>
  <si>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</si>
  <si>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</si>
  <si>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</si>
  <si>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</si>
  <si>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</si>
  <si>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</si>
  <si>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</si>
  <si>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</si>
  <si>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</si>
  <si>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</si>
  <si>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</si>
  <si>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</si>
  <si>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+ 70bp, the spread for a A+ rating at 5.6x interest cover. Book interest / average debt was lower, at 4.3%.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</si>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</sst>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-0.37773211785469163</v>
      </c>
    </row>
    <row r="7" spans="1:2" x14ac:dyDescent="0.25">
      <c r="A7" t="s">
        <v>4</v>
      </c>
      <c r="B7" s="5">
        <v>0.09186638309189694</v>
      </c>
    </row>
    <row r="8" spans="1:2" x14ac:dyDescent="0.25">
      <c r="A8" t="s">
        <v>5</v>
      </c>
      <c r="B8" s="5">
        <v>0.12222222222222222</v>
      </c>
    </row>
    <row r="9" spans="1:2" x14ac:dyDescent="0.25">
      <c r="A9" t="s">
        <v>6</v>
      </c>
      <c r="B9" s="5">
        <v>0.0466347985781639</v>
      </c>
    </row>
    <row r="10" spans="1:3" x14ac:dyDescent="0.25">
      <c r="A10" t="s">
        <v>7</v>
      </c>
      <c r="B10" s="5">
        <v>0.04192697382519435</v>
      </c>
      <c r="C10" s="6" t="s">
        <v>8</v>
      </c>
    </row>
    <row r="11" spans="1:2" x14ac:dyDescent="0.25">
      <c r="A11" t="s">
        <v>9</v>
      </c>
      <c r="B11" s="5">
        <v>0.1394441661262555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5.128531297872341</v>
      </c>
    </row>
    <row r="14" spans="1:3" x14ac:dyDescent="0.25">
      <c r="A14" t="s">
        <v>12</v>
      </c>
      <c r="B14" s="5">
        <v>0.09582229615731805</v>
      </c>
      <c r="C14" s="6" t="s">
        <v>13</v>
      </c>
    </row>
    <row r="15" spans="1:3" x14ac:dyDescent="0.25">
      <c r="A15" t="s">
        <v>14</v>
      </c>
      <c r="B15" s="5">
        <v>0.03637462764444375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1.201</v>
      </c>
      <c r="C19" s="6" t="s">
        <v>21</v>
      </c>
    </row>
    <row r="20" spans="1:2" x14ac:dyDescent="0.25">
      <c r="A20" t="s">
        <v>22</v>
      </c>
      <c r="B20" s="9">
        <f>B17+B19*B18</f>
        <v>0.0997423</v>
      </c>
    </row>
    <row r="21" spans="1:3" x14ac:dyDescent="0.25">
      <c r="A21" t="s">
        <v>23</v>
      </c>
      <c r="B21" s="5">
        <v>0.055940000000000004</v>
      </c>
      <c r="C21" s="6" t="s">
        <v>24</v>
      </c>
    </row>
    <row r="22" spans="1:2" x14ac:dyDescent="0.25">
      <c r="A22" t="s">
        <v>25</v>
      </c>
      <c r="B22" s="10">
        <v>9183622144</v>
      </c>
    </row>
    <row r="23" spans="1:2" x14ac:dyDescent="0.25">
      <c r="A23" t="s">
        <v>26</v>
      </c>
      <c r="B23" s="10">
        <v>8094000000</v>
      </c>
    </row>
    <row r="24" spans="1:2" x14ac:dyDescent="0.25">
      <c r="A24" t="s">
        <v>27</v>
      </c>
      <c r="B24" s="9">
        <f>B22/(B22+B23)</f>
        <v>0.5315327576595484</v>
      </c>
    </row>
    <row r="25" spans="1:2" x14ac:dyDescent="0.25">
      <c r="A25" t="s">
        <v>28</v>
      </c>
      <c r="B25" s="9">
        <f>1-B24</f>
        <v>0.46846724234045156</v>
      </c>
    </row>
    <row r="26" spans="1:2" x14ac:dyDescent="0.25">
      <c r="A26" t="s">
        <v>29</v>
      </c>
      <c r="B26" s="11">
        <f>B24*B20+B25*B21*(1-B8)</f>
        <v>0.07601939472303336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20398000000</v>
      </c>
      <c r="C29" s="6" t="s">
        <v>32</v>
      </c>
    </row>
    <row r="30" spans="1:2" x14ac:dyDescent="0.25">
      <c r="A30" t="s">
        <v>33</v>
      </c>
      <c r="B30" s="10">
        <v>6243000000</v>
      </c>
    </row>
    <row r="31" spans="1:2" x14ac:dyDescent="0.25">
      <c r="A31" t="s">
        <v>34</v>
      </c>
      <c r="B31" s="12">
        <v>220750000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-0.37773211785469163</v>
      </c>
      <c r="C5" s="5">
        <v>0.041595483910462194</v>
      </c>
      <c r="D5" s="5">
        <v>0.03952104842165442</v>
      </c>
      <c r="E5" s="5">
        <v>0.037446612932846644</v>
      </c>
      <c r="F5" s="5">
        <v>0.03537217744403887</v>
      </c>
      <c r="G5" s="5">
        <v>0.033297741955231094</v>
      </c>
      <c r="H5" s="5">
        <v>0.031223306466423323</v>
      </c>
      <c r="I5" s="5">
        <v>0.02914887097761555</v>
      </c>
      <c r="J5" s="5">
        <v>0.027074435488807776</v>
      </c>
      <c r="K5" s="5">
        <v>0.025</v>
      </c>
    </row>
    <row r="6" spans="1:11" x14ac:dyDescent="0.25">
      <c r="A6" t="s">
        <v>50</v>
      </c>
      <c r="B6" s="18">
        <f>Assumptions!B29*(1+B5)</f>
        <v>12693020260</v>
      </c>
      <c r="C6" s="18">
        <f>B6*(1+C5)</f>
        <v>13220992580</v>
      </c>
      <c r="D6" s="18">
        <f>C6*(1+D5)</f>
        <v>13743500067.936514</v>
      </c>
      <c r="E6" s="18">
        <f>D6*(1+E5)</f>
        <v>14258147595.323084</v>
      </c>
      <c r="F6" s="18">
        <f>E6*(1+F5)</f>
        <v>14762489322.08815</v>
      </c>
      <c r="G6" s="18">
        <f>F6*(1+G5)</f>
        <v>15254046882.151897</v>
      </c>
      <c r="H6" s="18">
        <f>G6*(1+H5)</f>
        <v>15730328662.806517</v>
      </c>
      <c r="I6" s="18">
        <f>H6*(1+I5)</f>
        <v>16188849983.43415</v>
      </c>
      <c r="J6" s="18">
        <f>I6*(1+J5)</f>
        <v>16627153957.948624</v>
      </c>
      <c r="K6" s="18">
        <f>J6*(1+K5)</f>
        <v>17042832806.897337</v>
      </c>
    </row>
    <row r="7" spans="1:11" x14ac:dyDescent="0.25">
      <c r="A7" t="s">
        <v>4</v>
      </c>
      <c r="B7" s="9">
        <f>Assumptions!B7</f>
        <v>0.09186638309189694</v>
      </c>
      <c r="C7" s="9">
        <f>Assumptions!B7</f>
        <v>0.09186638309189694</v>
      </c>
      <c r="D7" s="9">
        <f>Assumptions!B7</f>
        <v>0.09186638309189694</v>
      </c>
      <c r="E7" s="9">
        <f>Assumptions!B7</f>
        <v>0.09186638309189694</v>
      </c>
      <c r="F7" s="9">
        <f>Assumptions!B7</f>
        <v>0.09186638309189694</v>
      </c>
      <c r="G7" s="9">
        <f>Assumptions!B7</f>
        <v>0.09186638309189694</v>
      </c>
      <c r="H7" s="9">
        <f>Assumptions!B7</f>
        <v>0.09186638309189694</v>
      </c>
      <c r="I7" s="9">
        <f>Assumptions!B7</f>
        <v>0.09186638309189694</v>
      </c>
      <c r="J7" s="9">
        <f>Assumptions!B7</f>
        <v>0.09186638309189694</v>
      </c>
      <c r="K7" s="9">
        <f>Assumptions!B7</f>
        <v>0.09186638309189694</v>
      </c>
    </row>
    <row r="8" spans="1:11" x14ac:dyDescent="0.25">
      <c r="A8" t="s">
        <v>51</v>
      </c>
      <c r="B8" s="18">
        <f>B6*B7</f>
        <v>1166061861.7983694</v>
      </c>
      <c r="C8" s="18">
        <f>C6*C7</f>
        <v>1214564769.2094069</v>
      </c>
      <c r="D8" s="18">
        <f>D6*D7</f>
        <v>1262565642.2645674</v>
      </c>
      <c r="E8" s="18">
        <f>E6*E7</f>
        <v>1309844449.1727595</v>
      </c>
      <c r="F8" s="18">
        <f>F6*F7</f>
        <v>1356176499.452988</v>
      </c>
      <c r="G8" s="18">
        <f>G6*G7</f>
        <v>1401334114.5775223</v>
      </c>
      <c r="H8" s="18">
        <f>H6*H7</f>
        <v>1445088399.0988305</v>
      </c>
      <c r="I8" s="18">
        <f>I6*I7</f>
        <v>1487211094.3954113</v>
      </c>
      <c r="J8" s="18">
        <f>J6*J7</f>
        <v>1527476495.2288587</v>
      </c>
      <c r="K8" s="18">
        <f>K6*K7</f>
        <v>1565663407.60958</v>
      </c>
    </row>
    <row r="9" spans="1:11" x14ac:dyDescent="0.25">
      <c r="A9" t="s">
        <v>52</v>
      </c>
      <c r="B9" s="18">
        <f>B8*(1-Assumptions!B8)</f>
        <v>1023543189.8007909</v>
      </c>
      <c r="C9" s="18">
        <f>C8*(1-Assumptions!B8)</f>
        <v>1066117964.0838127</v>
      </c>
      <c r="D9" s="18">
        <f>D8*(1-Assumptions!B8)</f>
        <v>1108252063.7655647</v>
      </c>
      <c r="E9" s="18">
        <f>E8*(1-Assumptions!B8)</f>
        <v>1149752349.8294222</v>
      </c>
      <c r="F9" s="18">
        <f>F8*(1-Assumptions!B8)</f>
        <v>1190421593.9642894</v>
      </c>
      <c r="G9" s="18">
        <f>G8*(1-Assumptions!B8)</f>
        <v>1230059945.0180473</v>
      </c>
      <c r="H9" s="18">
        <f>H8*(1-Assumptions!B8)</f>
        <v>1268466483.6534178</v>
      </c>
      <c r="I9" s="18">
        <f>I8*(1-Assumptions!B8)</f>
        <v>1305440849.5248609</v>
      </c>
      <c r="J9" s="18">
        <f>J8*(1-Assumptions!B8)</f>
        <v>1340784923.589776</v>
      </c>
      <c r="K9" s="18">
        <f>K8*(1-Assumptions!B8)</f>
        <v>1374304546.6795201</v>
      </c>
    </row>
    <row r="10" spans="1:11" x14ac:dyDescent="0.25">
      <c r="A10" t="s">
        <v>53</v>
      </c>
      <c r="B10" s="18">
        <f>B6*Assumptions!B9</f>
        <v>591936443.1736535</v>
      </c>
      <c r="C10" s="18">
        <f>C6*Assumptions!B9</f>
        <v>616558325.9716995</v>
      </c>
      <c r="D10" s="18">
        <f>D6*Assumptions!B9</f>
        <v>640925357.4272012</v>
      </c>
      <c r="E10" s="18">
        <f>E6*Assumptions!B9</f>
        <v>664925841.205624</v>
      </c>
      <c r="F10" s="18">
        <f>F6*Assumptions!B9</f>
        <v>688445716.0478761</v>
      </c>
      <c r="G10" s="18">
        <f>G6*Assumptions!B9</f>
        <v>711369403.8510227</v>
      </c>
      <c r="H10" s="18">
        <f>H6*Assumptions!B9</f>
        <v>733580708.7583002</v>
      </c>
      <c r="I10" s="18">
        <f>I6*Assumptions!B9</f>
        <v>754963758.1895635</v>
      </c>
      <c r="J10" s="18">
        <f>J6*Assumptions!B9</f>
        <v>775403975.7570547</v>
      </c>
      <c r="K10" s="18">
        <f>K6*Assumptions!B9</f>
        <v>794789075.150981</v>
      </c>
    </row>
    <row r="11" spans="1:11" x14ac:dyDescent="0.25">
      <c r="A11" t="s">
        <v>54</v>
      </c>
      <c r="B11" s="18">
        <f>-B6*B19</f>
        <v>-532179928.2036816</v>
      </c>
      <c r="C11" s="18">
        <f>-C6*C19</f>
        <v>-580517056.185443</v>
      </c>
      <c r="D11" s="18">
        <f>-D6*D19</f>
        <v>-630696030.1301575</v>
      </c>
      <c r="E11" s="18">
        <f>-E6*E19</f>
        <v>-682569699.8606522</v>
      </c>
      <c r="F11" s="18">
        <f>-F6*F19</f>
        <v>-735969400.7354299</v>
      </c>
      <c r="G11" s="18">
        <f>-G6*G19</f>
        <v>-790705393.8210131</v>
      </c>
      <c r="H11" s="18">
        <f>-H6*H19</f>
        <v>-846567581.16689</v>
      </c>
      <c r="I11" s="18">
        <f>-I6*I19</f>
        <v>-903326500.5056081</v>
      </c>
      <c r="J11" s="18">
        <f>-J6*J19</f>
        <v>-960734599.3955188</v>
      </c>
      <c r="K11" s="18">
        <f>-K6*K19</f>
        <v>-1018527784.302714</v>
      </c>
    </row>
    <row r="12" spans="1:11" x14ac:dyDescent="0.25">
      <c r="A12" t="s">
        <v>55</v>
      </c>
      <c r="B12" s="18">
        <f>-(B6-Assumptions!B29)*Assumptions!B11</f>
        <v>1074414474.8639927</v>
      </c>
      <c r="C12" s="18">
        <f>-(C6-B6)*Assumptions!B11</f>
        <v>-73622659.90014452</v>
      </c>
      <c r="D12" s="18">
        <f>-(D6-C6)*Assumptions!B11</f>
        <v>-72860620.95003168</v>
      </c>
      <c r="E12" s="18">
        <f>-(E6-D6)*Assumptions!B11</f>
        <v>-71764595.30535948</v>
      </c>
      <c r="F12" s="18">
        <f>-(F6-E6)*Assumptions!B11</f>
        <v>-70327511.53143044</v>
      </c>
      <c r="G12" s="18">
        <f>-(G6-F6)*Assumptions!B11</f>
        <v>-68544834.066146</v>
      </c>
      <c r="H12" s="18">
        <f>-(H6-G6)*Assumptions!B11</f>
        <v>-66414715.7445115</v>
      </c>
      <c r="I12" s="18">
        <f>-(I6-H6)*Assumptions!B11</f>
        <v>-63938123.20602986</v>
      </c>
      <c r="J12" s="18">
        <f>-(J6-I6)*Assumptions!B11</f>
        <v>-61118932.23599422</v>
      </c>
      <c r="K12" s="18">
        <f>-(K6-J6)*Assumptions!B11</f>
        <v>-57963990.467975035</v>
      </c>
    </row>
    <row r="13" spans="1:11" x14ac:dyDescent="0.25">
      <c r="A13" s="19" t="s">
        <v>56</v>
      </c>
      <c r="B13" s="20">
        <f>B9+B10+B11+B12</f>
        <v>2157714179.6347556</v>
      </c>
      <c r="C13" s="20">
        <f>C9+C10+C11+C12</f>
        <v>1028536573.9699244</v>
      </c>
      <c r="D13" s="20">
        <f>D9+D10+D11+D12</f>
        <v>1045620770.1125766</v>
      </c>
      <c r="E13" s="20">
        <f>E9+E10+E11+E12</f>
        <v>1060343895.8690344</v>
      </c>
      <c r="F13" s="20">
        <f>F9+F10+F11+F12</f>
        <v>1072570397.7453053</v>
      </c>
      <c r="G13" s="20">
        <f>G9+G10+G11+G12</f>
        <v>1082179120.9819112</v>
      </c>
      <c r="H13" s="20">
        <f>H9+H10+H11+H12</f>
        <v>1089064895.5003161</v>
      </c>
      <c r="I13" s="20">
        <f>I9+I10+I11+I12</f>
        <v>1093139984.0027864</v>
      </c>
      <c r="J13" s="20">
        <f>J9+J10+J11+J12</f>
        <v>1094335367.7153177</v>
      </c>
      <c r="K13" s="20">
        <f>K9+K10+K11+K12</f>
        <v>1092601847.059812</v>
      </c>
    </row>
    <row r="14" spans="1:11" x14ac:dyDescent="0.25">
      <c r="A14" t="s">
        <v>57</v>
      </c>
      <c r="B14" s="21">
        <f>1/(1+Assumptions!$B$26)^(1-0.5*Assumptions!$B$32)</f>
        <v>0.9640286709096533</v>
      </c>
      <c r="C14" s="21">
        <f>1/(1+Assumptions!$B$26)^(2-0.5*Assumptions!$B$32)</f>
        <v>0.89592127766228</v>
      </c>
      <c r="D14" s="21">
        <f>1/(1+Assumptions!$B$26)^(3-0.5*Assumptions!$B$32)</f>
        <v>0.8326255846837123</v>
      </c>
      <c r="E14" s="21">
        <f>1/(1+Assumptions!$B$26)^(4-0.5*Assumptions!$B$32)</f>
        <v>0.7738016515009282</v>
      </c>
      <c r="F14" s="21">
        <f>1/(1+Assumptions!$B$26)^(5-0.5*Assumptions!$B$32)</f>
        <v>0.7191335540007661</v>
      </c>
      <c r="G14" s="21">
        <f>1/(1+Assumptions!$B$26)^(6-0.5*Assumptions!$B$32)</f>
        <v>0.6683276877048024</v>
      </c>
      <c r="H14" s="21">
        <f>1/(1+Assumptions!$B$26)^(7-0.5*Assumptions!$B$32)</f>
        <v>0.6211111909156893</v>
      </c>
      <c r="I14" s="21">
        <f>1/(1+Assumptions!$B$26)^(8-0.5*Assumptions!$B$32)</f>
        <v>0.5772304792661873</v>
      </c>
      <c r="J14" s="21">
        <f>1/(1+Assumptions!$B$26)^(9-0.5*Assumptions!$B$32)</f>
        <v>0.5364498838004365</v>
      </c>
      <c r="K14" s="21">
        <f>1/(1+Assumptions!$B$26)^(10-0.5*Assumptions!$B$32)</f>
        <v>0.49855038527304446</v>
      </c>
    </row>
    <row r="15" spans="1:11" x14ac:dyDescent="0.25">
      <c r="A15" s="19" t="s">
        <v>58</v>
      </c>
      <c r="B15" s="20">
        <f>B13*B14</f>
        <v>2080098332.7962062</v>
      </c>
      <c r="C15" s="20">
        <f>C13*C14</f>
        <v>921487801.4735188</v>
      </c>
      <c r="D15" s="20">
        <f>D13*D14</f>
        <v>870610605.0724176</v>
      </c>
      <c r="E15" s="20">
        <f>E13*E14</f>
        <v>820495857.782387</v>
      </c>
      <c r="F15" s="20">
        <f>F13*F14</f>
        <v>771321362.0465966</v>
      </c>
      <c r="G15" s="20">
        <f>G13*G14</f>
        <v>723250269.6082563</v>
      </c>
      <c r="H15" s="20">
        <f>H13*H14</f>
        <v>676430394.2286721</v>
      </c>
      <c r="I15" s="20">
        <f>I13*I14</f>
        <v>630993716.8709607</v>
      </c>
      <c r="J15" s="20">
        <f>J13*J14</f>
        <v>587056080.8495901</v>
      </c>
      <c r="K15" s="20">
        <f>K13*K14</f>
        <v>544717071.8017093</v>
      </c>
    </row>
    <row r="17" spans="1:2" x14ac:dyDescent="0.25">
      <c r="A17" s="22" t="s">
        <v>59</v>
      </c>
      <c r="B17" s="23">
        <f>SUM(B15:K15)</f>
        <v>8626461492.530315</v>
      </c>
    </row>
    <row r="19" spans="1:11" x14ac:dyDescent="0.25">
      <c r="A19" t="s">
        <v>7</v>
      </c>
      <c r="B19" s="9">
        <f>Assumptions!$B$10+($B$20-Assumptions!$B$10)*0/9</f>
        <v>0.04192697382519435</v>
      </c>
      <c r="C19" s="9">
        <f>Assumptions!$B$10+($B$20-Assumptions!$B$10)*1/9</f>
        <v>0.04390873473929769</v>
      </c>
      <c r="D19" s="9">
        <f>Assumptions!$B$10+($B$20-Assumptions!$B$10)*2/9</f>
        <v>0.04589049565340104</v>
      </c>
      <c r="E19" s="9">
        <f>Assumptions!$B$10+($B$20-Assumptions!$B$10)*3/9</f>
        <v>0.04787225656750438</v>
      </c>
      <c r="F19" s="9">
        <f>Assumptions!$B$10+($B$20-Assumptions!$B$10)*4/9</f>
        <v>0.04985401748160772</v>
      </c>
      <c r="G19" s="9">
        <f>Assumptions!$B$10+($B$20-Assumptions!$B$10)*5/9</f>
        <v>0.05183577839571107</v>
      </c>
      <c r="H19" s="9">
        <f>Assumptions!$B$10+($B$20-Assumptions!$B$10)*6/9</f>
        <v>0.05381753930981441</v>
      </c>
      <c r="I19" s="9">
        <f>Assumptions!$B$10+($B$20-Assumptions!$B$10)*7/9</f>
        <v>0.05579930022391775</v>
      </c>
      <c r="J19" s="9">
        <f>Assumptions!$B$10+($B$20-Assumptions!$B$10)*8/9</f>
        <v>0.05778106113802109</v>
      </c>
      <c r="K19" s="9">
        <f>Assumptions!$B$10+($B$20-Assumptions!$B$10)*9/9</f>
        <v>0.05976282205212444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0.05976282205212444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1092601847.059812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1527794856.0761075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0.2608996131647251</v>
      </c>
    </row>
    <row r="7" spans="1:2" x14ac:dyDescent="0.25">
      <c r="A7" t="s">
        <v>66</v>
      </c>
      <c r="B7" s="18">
        <f>-MAX(B5,0)*B6</f>
        <v>-398601086.9453133</v>
      </c>
    </row>
    <row r="8" spans="1:2" x14ac:dyDescent="0.25">
      <c r="A8" t="s">
        <v>67</v>
      </c>
      <c r="B8" s="18">
        <f>IF(OR(Assumptions!$B$33=0,Assumptions!B12&lt;=0),B5,MAX(B5+B7,0))</f>
        <v>1129193769.1307943</v>
      </c>
    </row>
    <row r="9" spans="1:2" x14ac:dyDescent="0.25">
      <c r="A9" t="s">
        <v>68</v>
      </c>
      <c r="B9" s="18">
        <f>B8*(1+Assumptions!B12)/(Assumptions!B26-Assumptions!B12)</f>
        <v>22685953442.652866</v>
      </c>
    </row>
    <row r="10" spans="1:2" x14ac:dyDescent="0.25">
      <c r="A10" t="s">
        <v>69</v>
      </c>
      <c r="B10" s="18">
        <f>B9/(1+Assumptions!B26)^(10-0.5*Assumptions!B32)</f>
        <v>11310090829.120935</v>
      </c>
    </row>
    <row r="11" spans="1:2" x14ac:dyDescent="0.25">
      <c r="A11" t="s">
        <v>70</v>
      </c>
      <c r="B11" s="18">
        <f>Forecast!B17+B10</f>
        <v>19936552321.651253</v>
      </c>
    </row>
    <row r="12" spans="1:2" x14ac:dyDescent="0.25">
      <c r="A12" t="s">
        <v>71</v>
      </c>
      <c r="B12" s="18">
        <f>-Assumptions!B30</f>
        <v>-6243000000</v>
      </c>
    </row>
    <row r="13" spans="1:2" x14ac:dyDescent="0.25">
      <c r="A13" t="s">
        <v>72</v>
      </c>
      <c r="B13" s="18">
        <f>B11+B12</f>
        <v>13693552321.651253</v>
      </c>
    </row>
    <row r="14" spans="1:2" x14ac:dyDescent="0.25">
      <c r="A14" s="19" t="s">
        <v>73</v>
      </c>
      <c r="B14" s="24">
        <f>B13/Assumptions!B31</f>
        <v>62.03194709694792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2360452482.760561</v>
      </c>
    </row>
    <row r="18" spans="1:2" x14ac:dyDescent="0.25">
      <c r="A18" t="s">
        <v>68</v>
      </c>
      <c r="B18" s="18">
        <f>B17*Assumptions!B13</f>
        <v>12105654434.978008</v>
      </c>
    </row>
    <row r="19" spans="1:2" x14ac:dyDescent="0.25">
      <c r="A19" t="s">
        <v>69</v>
      </c>
      <c r="B19" s="18">
        <f>B18/(1+Assumptions!B26)^(10-0.5*Assumptions!B32)</f>
        <v>6035278682.540626</v>
      </c>
    </row>
    <row r="20" spans="1:2" x14ac:dyDescent="0.25">
      <c r="A20" t="s">
        <v>70</v>
      </c>
      <c r="B20" s="18">
        <f>Forecast!B17+B19</f>
        <v>14661740175.070942</v>
      </c>
    </row>
    <row r="21" spans="1:2" x14ac:dyDescent="0.25">
      <c r="A21" t="s">
        <v>71</v>
      </c>
      <c r="B21" s="18">
        <f>-Assumptions!B30</f>
        <v>-6243000000</v>
      </c>
    </row>
    <row r="22" spans="1:2" x14ac:dyDescent="0.25">
      <c r="A22" t="s">
        <v>72</v>
      </c>
      <c r="B22" s="18">
        <f>B20+B21</f>
        <v>8418740175.070942</v>
      </c>
    </row>
    <row r="23" spans="1:2" x14ac:dyDescent="0.25">
      <c r="A23" s="19" t="s">
        <v>73</v>
      </c>
      <c r="B23" s="25">
        <f>B22/Assumptions!B31</f>
        <v>38.136988335542206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44.23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62.03194709694792</v>
      </c>
    </row>
    <row r="29" spans="1:2" x14ac:dyDescent="0.25">
      <c r="A29" s="19" t="s">
        <v>81</v>
      </c>
      <c r="B29" s="11">
        <f>B28/B26-1</f>
        <v>0.40248580368410414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0.056019</v>
      </c>
      <c r="B5" s="31">
        <v>102.25799030476787</v>
      </c>
      <c r="C5" s="31">
        <v>107.43905128139401</v>
      </c>
      <c r="D5" s="31">
        <v>114.593591507553</v>
      </c>
      <c r="E5" s="31">
        <v>124.85932529751504</v>
      </c>
      <c r="F5" s="31">
        <v>140.4565249504877</v>
      </c>
    </row>
    <row r="6" spans="1:6" x14ac:dyDescent="0.25">
      <c r="A6" s="30">
        <v>0.066019</v>
      </c>
      <c r="B6" s="31">
        <v>77.72673441321344</v>
      </c>
      <c r="C6" s="31">
        <v>79.50077607271712</v>
      </c>
      <c r="D6" s="31">
        <v>81.92386426995517</v>
      </c>
      <c r="E6" s="31">
        <v>85.26629240746566</v>
      </c>
      <c r="F6" s="31">
        <v>89.97262991379506</v>
      </c>
    </row>
    <row r="7" spans="1:6" x14ac:dyDescent="0.25">
      <c r="A7" s="30">
        <v>0.076019</v>
      </c>
      <c r="B7" s="31">
        <v>61.247310443873026</v>
      </c>
      <c r="C7" s="31">
        <v>61.52994956047675</v>
      </c>
      <c r="D7" s="32">
        <v>62.03257889720985</v>
      </c>
      <c r="E7" s="31">
        <v>62.82690477758969</v>
      </c>
      <c r="F7" s="31">
        <v>64.01959601740157</v>
      </c>
    </row>
    <row r="8" spans="1:6" x14ac:dyDescent="0.25">
      <c r="A8" s="30">
        <v>0.086019</v>
      </c>
      <c r="B8" s="31">
        <v>49.41704815051572</v>
      </c>
      <c r="C8" s="31">
        <v>48.99696596917565</v>
      </c>
      <c r="D8" s="31">
        <v>48.6382477235071</v>
      </c>
      <c r="E8" s="31">
        <v>48.35732460712428</v>
      </c>
      <c r="F8" s="31">
        <v>48.1770690193154</v>
      </c>
    </row>
    <row r="9" spans="1:6" x14ac:dyDescent="0.25">
      <c r="A9" s="30">
        <v>0.096019</v>
      </c>
      <c r="B9" s="31">
        <v>40.530537901340125</v>
      </c>
      <c r="C9" s="31">
        <v>39.77969600256231</v>
      </c>
      <c r="D9" s="31">
        <v>39.028854103784504</v>
      </c>
      <c r="E9" s="31">
        <v>38.278012205006696</v>
      </c>
      <c r="F9" s="31">
        <v>37.52717030622889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20398000000</v>
      </c>
      <c r="C5" s="18">
        <v>19713000000</v>
      </c>
      <c r="D5" s="18">
        <v>20051000000</v>
      </c>
      <c r="E5" s="18">
        <v>17489000000</v>
      </c>
      <c r="F5" s="6" t="s">
        <v>91</v>
      </c>
    </row>
    <row r="6" spans="1:6" x14ac:dyDescent="0.25">
      <c r="A6" t="s">
        <v>51</v>
      </c>
      <c r="B6" s="18">
        <v>2017000000</v>
      </c>
      <c r="C6" s="18">
        <v>2035000000</v>
      </c>
      <c r="D6" s="18">
        <v>1770000000</v>
      </c>
      <c r="E6" s="18">
        <v>1348000000</v>
      </c>
      <c r="F6" s="6" t="s">
        <v>92</v>
      </c>
    </row>
    <row r="7" spans="1:6" x14ac:dyDescent="0.25">
      <c r="A7" t="s">
        <v>93</v>
      </c>
      <c r="B7" s="18">
        <v>991000000</v>
      </c>
      <c r="C7" s="18">
        <v>964000000</v>
      </c>
      <c r="D7" s="18">
        <v>912000000</v>
      </c>
      <c r="E7" s="18">
        <v>762000000</v>
      </c>
      <c r="F7" s="6" t="s">
        <v>94</v>
      </c>
    </row>
    <row r="8" spans="1:6" x14ac:dyDescent="0.25">
      <c r="A8" t="s">
        <v>95</v>
      </c>
      <c r="B8" s="18">
        <v>656000000</v>
      </c>
      <c r="C8" s="18">
        <v>830000000</v>
      </c>
      <c r="D8" s="18">
        <v>906000000</v>
      </c>
      <c r="E8" s="18">
        <v>844000000</v>
      </c>
      <c r="F8" s="6" t="s">
        <v>96</v>
      </c>
    </row>
    <row r="9" spans="1:6" x14ac:dyDescent="0.25">
      <c r="A9" t="s">
        <v>97</v>
      </c>
      <c r="B9" s="18">
        <v>193000000</v>
      </c>
      <c r="C9" s="18">
        <v>-61000000</v>
      </c>
      <c r="D9" s="18">
        <v>343000000</v>
      </c>
      <c r="E9" s="18">
        <v>403000000</v>
      </c>
      <c r="F9" s="6" t="s">
        <v>98</v>
      </c>
    </row>
    <row r="10" spans="1:6" x14ac:dyDescent="0.25">
      <c r="A10" t="s">
        <v>99</v>
      </c>
      <c r="B10" s="18">
        <v>8094000000</v>
      </c>
      <c r="C10" s="18">
        <v>8888000000</v>
      </c>
      <c r="D10" s="18">
        <v>6787000000</v>
      </c>
      <c r="E10" s="18">
        <v>6961000000</v>
      </c>
      <c r="F10" s="6" t="s">
        <v>100</v>
      </c>
    </row>
    <row r="11" spans="1:6" x14ac:dyDescent="0.25">
      <c r="A11" t="s">
        <v>101</v>
      </c>
      <c r="B11" s="18">
        <v>1851000000</v>
      </c>
      <c r="C11" s="18">
        <v>1573000000</v>
      </c>
      <c r="D11" s="18">
        <v>1640000000</v>
      </c>
      <c r="E11" s="18">
        <v>1531000000</v>
      </c>
      <c r="F11" s="6" t="s">
        <v>102</v>
      </c>
    </row>
    <row r="12" spans="1:6" x14ac:dyDescent="0.25">
      <c r="A12" t="s">
        <v>34</v>
      </c>
      <c r="B12" s="34">
        <v>220750000</v>
      </c>
      <c r="C12" s="34">
        <v>256660000</v>
      </c>
      <c r="D12" s="34">
        <v>282880000</v>
      </c>
      <c r="E12" s="34">
        <v>271180000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