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<sst xmlns="http://schemas.openxmlformats.org/spreadsheetml/2006/main" count="112" uniqueCount="100">
  <si>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Alexandria Real Estate Equities, Inc. (ARE)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</si>
  <si>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</si>
  <si>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</si>
  <si>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</si>
  <si>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</si>
  <si>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</si>
  <si>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</si>
  <si>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</si>
  <si>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</si>
  <si>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</si>
  <si>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</si>
  <si>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</si>
  <si>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</si>
  <si>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</si>
  <si>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</si>
  <si>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</si>
  <si>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</si>
  <si>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</si>
  <si>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</si>
  <si>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</si>
  <si>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</si>
  <si>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</si>
  <si>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</si>
  <si>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</si>
  <si>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</si>
  <si>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</si>
  <si>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</si>
  <si>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</si>
  <si>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</si>
  <si>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</si>
  <si>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</si>
  <si>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</si>
  <si>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</si>
  <si>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</si>
  <si>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</si>
  <si>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</si>
  <si>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</si>
  <si>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</si>
  <si>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</si>
  <si>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</si>
  <si>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</si>
  <si>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</si>
  <si>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</si>
  <si>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</si>
  <si>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</si>
  <si>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</si>
  <si>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</si>
  <si>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</si>
  <si>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</si>
  <si>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</si>
  <si>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</si>
  <si>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</si>
  <si>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</si>
  <si>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</si>
  <si>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</si>
  <si>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</si>
  <si>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</si>
  <si>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</si>
  <si>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</si>
  <si>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</si>
  <si>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</si>
  <si>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</si>
  <si>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</si>
  <si>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</si>
  <si>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</si>
  <si>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</si>
  <si>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</si>
  <si>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</si>
  <si>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</si>
  <si>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</si>
  <si>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</si>
  <si>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</si>
  <si>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</si>
  <si>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</si>
  <si>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</si>
  <si>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</si>
  <si>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</si>
  <si>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</si>
  <si>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</si>
  <si>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</si>
  <si>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</si>
  <si>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</si>
  <si>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</si>
  <si>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</si>
  <si>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</si>
  <si>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</si>
  <si>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</si>
  <si>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</si>
  <si>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</si>
  <si>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</si>
  <si>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</si>
  <si>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</si>
  <si>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</si>
  <si>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</si>
  <si>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</si>
  <si>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</si>
  <si>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</si>
  <si>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</si>
  <si>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40.66%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</si>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</sst>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0.04564958075072889</v>
      </c>
    </row>
    <row r="7" spans="1:2" x14ac:dyDescent="0.25">
      <c r="A7" t="s">
        <v>5</v>
      </c>
      <c r="B7" s="6">
        <v>0.23047309730717658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0.3809768816830168</v>
      </c>
    </row>
    <row r="10" spans="1:2" x14ac:dyDescent="0.25">
      <c r="A10" t="s">
        <v>8</v>
      </c>
      <c r="B10" s="6">
        <v>0.40662972714773726</v>
      </c>
    </row>
    <row r="11" spans="1:2" x14ac:dyDescent="0.25">
      <c r="A11" t="s">
        <v>9</v>
      </c>
      <c r="B11" s="6">
        <v>-0.007615908954417152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11.44939106523322</v>
      </c>
    </row>
    <row r="14" spans="1:3" x14ac:dyDescent="0.25">
      <c r="A14" t="s">
        <v>12</v>
      </c>
      <c r="B14" s="6">
        <v>0.07556991795651505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1.11256</v>
      </c>
      <c r="C19" s="8" t="s">
        <v>19</v>
      </c>
    </row>
    <row r="20" spans="1:2" x14ac:dyDescent="0.25">
      <c r="A20" t="s">
        <v>20</v>
      </c>
      <c r="B20" s="10">
        <f>B17+B19*B18</f>
        <v>0.1111708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9172678656</v>
      </c>
    </row>
    <row r="23" spans="1:2" x14ac:dyDescent="0.25">
      <c r="A23" t="s">
        <v>24</v>
      </c>
      <c r="B23" s="11">
        <v>12761098000</v>
      </c>
    </row>
    <row r="24" spans="1:2" x14ac:dyDescent="0.25">
      <c r="A24" t="s">
        <v>25</v>
      </c>
      <c r="B24" s="10">
        <f>B22/(B22+B23)</f>
        <v>0.41819878080553025</v>
      </c>
    </row>
    <row r="25" spans="1:2" x14ac:dyDescent="0.25">
      <c r="A25" t="s">
        <v>26</v>
      </c>
      <c r="B25" s="10">
        <f>1-B24</f>
        <v>0.5818012191944697</v>
      </c>
    </row>
    <row r="26" spans="1:2" x14ac:dyDescent="0.25">
      <c r="A26" t="s">
        <v>27</v>
      </c>
      <c r="B26" s="12">
        <f>B24*B20+B25*B21*(1-B8)</f>
        <v>0.07556991795651505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2945175000</v>
      </c>
      <c r="C29" s="8" t="s">
        <v>30</v>
      </c>
    </row>
    <row r="30" spans="1:2" x14ac:dyDescent="0.25">
      <c r="A30" t="s">
        <v>31</v>
      </c>
      <c r="B30" s="11">
        <v>12212036000</v>
      </c>
    </row>
    <row r="31" spans="1:2" x14ac:dyDescent="0.25">
      <c r="A31" t="s">
        <v>32</v>
      </c>
      <c r="B31" s="13">
        <v>170307000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0.04564958075072889</v>
      </c>
      <c r="C5" s="10">
        <f>Assumptions!B6</f>
        <v>0.04564958075072889</v>
      </c>
      <c r="D5" s="10">
        <f>Assumptions!B6</f>
        <v>0.04564958075072889</v>
      </c>
      <c r="E5" s="10">
        <f>Assumptions!B6</f>
        <v>0.04564958075072889</v>
      </c>
      <c r="F5" s="10">
        <f>Assumptions!B6</f>
        <v>0.04564958075072889</v>
      </c>
    </row>
    <row r="6" spans="1:6" x14ac:dyDescent="0.25">
      <c r="A6" t="s">
        <v>43</v>
      </c>
      <c r="B6" s="18">
        <f>Assumptions!B29*(1+B5)</f>
        <v>3079621003.987528</v>
      </c>
      <c r="C6" s="18">
        <f>B6*(1+C5)</f>
        <v>3220204411.690697</v>
      </c>
      <c r="D6" s="18">
        <f>C6*(1+D5)</f>
        <v>3367205393.016025</v>
      </c>
      <c r="E6" s="18">
        <f>D6*(1+E5)</f>
        <v>3520916907.5088</v>
      </c>
      <c r="F6" s="18">
        <f>E6*(1+F5)</f>
        <v>3681645288.19473</v>
      </c>
    </row>
    <row r="7" spans="1:6" x14ac:dyDescent="0.25">
      <c r="A7" t="s">
        <v>5</v>
      </c>
      <c r="B7" s="10">
        <f>Assumptions!B7</f>
        <v>0.23047309730717658</v>
      </c>
      <c r="C7" s="10">
        <f>Assumptions!B7</f>
        <v>0.23047309730717658</v>
      </c>
      <c r="D7" s="10">
        <f>Assumptions!B7</f>
        <v>0.23047309730717658</v>
      </c>
      <c r="E7" s="10">
        <f>Assumptions!B7</f>
        <v>0.23047309730717658</v>
      </c>
      <c r="F7" s="10">
        <f>Assumptions!B7</f>
        <v>0.23047309730717658</v>
      </c>
    </row>
    <row r="8" spans="1:6" x14ac:dyDescent="0.25">
      <c r="A8" t="s">
        <v>44</v>
      </c>
      <c r="B8" s="18">
        <f>B6*B7</f>
        <v>709769791.3212423</v>
      </c>
      <c r="C8" s="18">
        <f>C6*C7</f>
        <v>742170484.7245893</v>
      </c>
      <c r="D8" s="18">
        <f>D6*D7</f>
        <v>776050256.1978321</v>
      </c>
      <c r="E8" s="18">
        <f>E6*E7</f>
        <v>811476625.0347589</v>
      </c>
      <c r="F8" s="18">
        <f>F6*F7</f>
        <v>848520192.7566121</v>
      </c>
    </row>
    <row r="9" spans="1:6" x14ac:dyDescent="0.25">
      <c r="A9" t="s">
        <v>45</v>
      </c>
      <c r="B9" s="18">
        <f>B8*(1-Assumptions!B8)</f>
        <v>709769791.3212423</v>
      </c>
      <c r="C9" s="18">
        <f>C8*(1-Assumptions!B8)</f>
        <v>742170484.7245893</v>
      </c>
      <c r="D9" s="18">
        <f>D8*(1-Assumptions!B8)</f>
        <v>776050256.1978321</v>
      </c>
      <c r="E9" s="18">
        <f>E8*(1-Assumptions!B8)</f>
        <v>811476625.0347589</v>
      </c>
      <c r="F9" s="18">
        <f>F8*(1-Assumptions!B8)</f>
        <v>848520192.7566121</v>
      </c>
    </row>
    <row r="10" spans="1:6" x14ac:dyDescent="0.25">
      <c r="A10" t="s">
        <v>46</v>
      </c>
      <c r="B10" s="18">
        <f>B6*Assumptions!B9</f>
        <v>1173264406.8646898</v>
      </c>
      <c r="C10" s="18">
        <f>C6*Assumptions!B9</f>
        <v>1226823435.1478155</v>
      </c>
      <c r="D10" s="18">
        <f>D6*Assumptions!B9</f>
        <v>1282827410.6174822</v>
      </c>
      <c r="E10" s="18">
        <f>E6*Assumptions!B9</f>
        <v>1341387944.0877135</v>
      </c>
      <c r="F10" s="18">
        <f>F6*Assumptions!B9</f>
        <v>1402621741.3593998</v>
      </c>
    </row>
    <row r="11" spans="1:6" x14ac:dyDescent="0.25">
      <c r="A11" t="s">
        <v>47</v>
      </c>
      <c r="B11" s="18">
        <f>-B6*Assumptions!B10</f>
        <v>-1252265448.569889</v>
      </c>
      <c r="C11" s="18">
        <f>-C6*Assumptions!B10</f>
        <v>-1309430841.285728</v>
      </c>
      <c r="D11" s="18">
        <f>-D6*Assumptions!B10</f>
        <v>-1369205810.2124958</v>
      </c>
      <c r="E11" s="18">
        <f>-E6*Assumptions!B10</f>
        <v>-1431709481.4101582</v>
      </c>
      <c r="F11" s="18">
        <f>-F6*Assumptions!B10</f>
        <v>-1497066418.9933755</v>
      </c>
    </row>
    <row r="12" spans="1:6" x14ac:dyDescent="0.25">
      <c r="A12" t="s">
        <v>48</v>
      </c>
      <c r="B12" s="18">
        <f>-(B6-Assumptions!B29)*Assumptions!B11</f>
        <v>1023928.5256542175</v>
      </c>
      <c r="C12" s="18">
        <f>-(C6-B6)*Assumptions!B11</f>
        <v>1070670.4335690446</v>
      </c>
      <c r="D12" s="18">
        <f>-(D6-C6)*Assumptions!B11</f>
        <v>1119546.089983673</v>
      </c>
      <c r="E12" s="18">
        <f>-(E6-D6)*Assumptions!B11</f>
        <v>1170652.8996225467</v>
      </c>
      <c r="F12" s="18">
        <f>-(F6-E6)*Assumptions!B11</f>
        <v>1224092.7136949415</v>
      </c>
    </row>
    <row r="13" spans="1:6" x14ac:dyDescent="0.25">
      <c r="A13" s="19" t="s">
        <v>49</v>
      </c>
      <c r="B13" s="20">
        <f>B9+B10+B11+B12</f>
        <v>631792678.1416973</v>
      </c>
      <c r="C13" s="20">
        <f>C9+C10+C11+C12</f>
        <v>660633749.0202459</v>
      </c>
      <c r="D13" s="20">
        <f>D9+D10+D11+D12</f>
        <v>690791402.6928022</v>
      </c>
      <c r="E13" s="20">
        <f>E9+E10+E11+E12</f>
        <v>722325740.6119367</v>
      </c>
      <c r="F13" s="20">
        <f>F9+F10+F11+F12</f>
        <v>755299607.836331</v>
      </c>
    </row>
    <row r="14" spans="1:6" x14ac:dyDescent="0.25">
      <c r="A14" t="s">
        <v>50</v>
      </c>
      <c r="B14" s="21">
        <f>1/(1+Assumptions!$B$26)^(1-0.5*Assumptions!$B$32)</f>
        <v>0.9642300819116454</v>
      </c>
      <c r="C14" s="21">
        <f>1/(1+Assumptions!$B$26)^(2-0.5*Assumptions!$B$32)</f>
        <v>0.8964829397084616</v>
      </c>
      <c r="D14" s="21">
        <f>1/(1+Assumptions!$B$26)^(3-0.5*Assumptions!$B$32)</f>
        <v>0.8334957353694845</v>
      </c>
      <c r="E14" s="21">
        <f>1/(1+Assumptions!$B$26)^(4-0.5*Assumptions!$B$32)</f>
        <v>0.7749340339985061</v>
      </c>
      <c r="F14" s="21">
        <f>1/(1+Assumptions!$B$26)^(5-0.5*Assumptions!$B$32)</f>
        <v>0.7204868982118897</v>
      </c>
    </row>
    <row r="15" spans="1:6" x14ac:dyDescent="0.25">
      <c r="A15" s="19" t="s">
        <v>51</v>
      </c>
      <c r="B15" s="20">
        <f>B13*B14</f>
        <v>609193505.7957466</v>
      </c>
      <c r="C15" s="20">
        <f>C13*C14</f>
        <v>592246885.392292</v>
      </c>
      <c r="D15" s="20">
        <f>D13*D14</f>
        <v>575771688.1743549</v>
      </c>
      <c r="E15" s="20">
        <f>E13*E14</f>
        <v>559754800.0333667</v>
      </c>
      <c r="F15" s="20">
        <f>F13*F14</f>
        <v>544183471.6706549</v>
      </c>
    </row>
    <row r="17" spans="1:2" x14ac:dyDescent="0.25">
      <c r="A17" s="22" t="s">
        <v>52</v>
      </c>
      <c r="B17" s="23">
        <f>SUM(B15:F15)</f>
        <v>2881150351.066415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755299607.836331</v>
      </c>
    </row>
    <row r="5" spans="1:2" x14ac:dyDescent="0.25">
      <c r="A5" t="s">
        <v>56</v>
      </c>
      <c r="B5" s="18">
        <f>IF(Assumptions!$B$33=0,B4,B4-Forecast!F11-Forecast!F10-Forecast!F12)</f>
        <v>848520192.7566121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0.33081946726984235</v>
      </c>
    </row>
    <row r="7" spans="1:2" x14ac:dyDescent="0.25">
      <c r="A7" t="s">
        <v>58</v>
      </c>
      <c r="B7" s="18">
        <f>-MAX(Forecast!F9,0)*B6</f>
        <v>-280706998.13544637</v>
      </c>
    </row>
    <row r="8" spans="1:2" x14ac:dyDescent="0.25">
      <c r="A8" t="s">
        <v>59</v>
      </c>
      <c r="B8" s="18">
        <f>IF(OR(Assumptions!$B$33=0,Assumptions!B12&lt;=0),B5,MAX(B5+B7,0))</f>
        <v>567813194.6211658</v>
      </c>
    </row>
    <row r="9" spans="1:2" x14ac:dyDescent="0.25">
      <c r="A9" t="s">
        <v>60</v>
      </c>
      <c r="B9" s="18">
        <f>B8*(1+Assumptions!B12)/(Assumptions!B26-Assumptions!B12)</f>
        <v>11508986923.553299</v>
      </c>
    </row>
    <row r="10" spans="1:2" x14ac:dyDescent="0.25">
      <c r="A10" t="s">
        <v>61</v>
      </c>
      <c r="B10" s="18">
        <f>B9/(1+Assumptions!B26)^(5-0.5*Assumptions!B32)</f>
        <v>8292074290.112116</v>
      </c>
    </row>
    <row r="11" spans="1:2" x14ac:dyDescent="0.25">
      <c r="A11" t="s">
        <v>62</v>
      </c>
      <c r="B11" s="18">
        <f>Forecast!B17+B10</f>
        <v>11173224641.178532</v>
      </c>
    </row>
    <row r="12" spans="1:2" x14ac:dyDescent="0.25">
      <c r="A12" t="s">
        <v>63</v>
      </c>
      <c r="B12" s="18">
        <f>-Assumptions!B30</f>
        <v>-12212036000</v>
      </c>
    </row>
    <row r="13" spans="1:2" x14ac:dyDescent="0.25">
      <c r="A13" t="s">
        <v>64</v>
      </c>
      <c r="B13" s="18">
        <f>B11+B12</f>
        <v>-1038811358.8214684</v>
      </c>
    </row>
    <row r="14" spans="1:2" x14ac:dyDescent="0.25">
      <c r="A14" s="19" t="s">
        <v>65</v>
      </c>
      <c r="B14" s="24">
        <f>B13/Assumptions!B31</f>
        <v>-6.09963981998079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2251141934.1160116</v>
      </c>
    </row>
    <row r="18" spans="1:2" x14ac:dyDescent="0.25">
      <c r="A18" t="s">
        <v>60</v>
      </c>
      <c r="B18" s="18">
        <f>B17*Assumptions!B13</f>
        <v>25774204347.039692</v>
      </c>
    </row>
    <row r="19" spans="1:2" x14ac:dyDescent="0.25">
      <c r="A19" t="s">
        <v>61</v>
      </c>
      <c r="B19" s="18">
        <f>B18/(1+Assumptions!B26)^(5-0.5*Assumptions!B32)</f>
        <v>18569976543.878033</v>
      </c>
    </row>
    <row r="20" spans="1:2" x14ac:dyDescent="0.25">
      <c r="A20" t="s">
        <v>62</v>
      </c>
      <c r="B20" s="18">
        <f>Forecast!B17+B19</f>
        <v>21451126894.944447</v>
      </c>
    </row>
    <row r="21" spans="1:2" x14ac:dyDescent="0.25">
      <c r="A21" t="s">
        <v>63</v>
      </c>
      <c r="B21" s="18">
        <f>-Assumptions!B30</f>
        <v>-12212036000</v>
      </c>
    </row>
    <row r="22" spans="1:2" x14ac:dyDescent="0.25">
      <c r="A22" t="s">
        <v>64</v>
      </c>
      <c r="B22" s="18">
        <f>B20+B21</f>
        <v>9239090894.944447</v>
      </c>
    </row>
    <row r="23" spans="1:2" x14ac:dyDescent="0.25">
      <c r="A23" s="19" t="s">
        <v>65</v>
      </c>
      <c r="B23" s="25">
        <f>B22/Assumptions!B31</f>
        <v>54.249625059125265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-6.09963981998079</v>
      </c>
    </row>
    <row r="29" spans="1:2" x14ac:dyDescent="0.25">
      <c r="A29" s="19" t="s">
        <v>73</v>
      </c>
      <c r="B29" s="12">
        <f>B28/B26-1</f>
        <v>-1.114439771481816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0.05557</v>
      </c>
      <c r="B5" s="31">
        <v>17.356632109161634</v>
      </c>
      <c r="C5" s="31">
        <v>17.708085401586743</v>
      </c>
      <c r="D5" s="31">
        <v>18.059538694011852</v>
      </c>
      <c r="E5" s="31">
        <v>18.410991986436972</v>
      </c>
      <c r="F5" s="31">
        <v>18.762445278862057</v>
      </c>
    </row>
    <row r="6" spans="1:6" x14ac:dyDescent="0.25">
      <c r="A6" s="30">
        <v>0.06557</v>
      </c>
      <c r="B6" s="31">
        <v>3.5558952822364795</v>
      </c>
      <c r="C6" s="31">
        <v>3.8413752057868207</v>
      </c>
      <c r="D6" s="31">
        <v>4.126855129337139</v>
      </c>
      <c r="E6" s="31">
        <v>4.4123350528874345</v>
      </c>
      <c r="F6" s="31">
        <v>4.697814976437765</v>
      </c>
    </row>
    <row r="7" spans="1:6" x14ac:dyDescent="0.25">
      <c r="A7" s="30">
        <v>0.07557</v>
      </c>
      <c r="B7" s="31">
        <v>-6.574726316031083</v>
      </c>
      <c r="C7" s="31">
        <v>-6.337219430934706</v>
      </c>
      <c r="D7" s="32">
        <v>-6.099712545838352</v>
      </c>
      <c r="E7" s="31">
        <v>-5.862205660741975</v>
      </c>
      <c r="F7" s="31">
        <v>-5.624698775645621</v>
      </c>
    </row>
    <row r="8" spans="1:6" x14ac:dyDescent="0.25">
      <c r="A8" s="30">
        <v>0.08557</v>
      </c>
      <c r="B8" s="31">
        <v>-14.322834448883274</v>
      </c>
      <c r="C8" s="31">
        <v>-14.121639113738736</v>
      </c>
      <c r="D8" s="31">
        <v>-13.920443778594196</v>
      </c>
      <c r="E8" s="31">
        <v>-13.719248443449658</v>
      </c>
      <c r="F8" s="31">
        <v>-13.518053108305118</v>
      </c>
    </row>
    <row r="9" spans="1:6" x14ac:dyDescent="0.25">
      <c r="A9" s="30">
        <v>0.09557</v>
      </c>
      <c r="B9" s="31">
        <v>-20.437064163300537</v>
      </c>
      <c r="C9" s="31">
        <v>-20.26420296872361</v>
      </c>
      <c r="D9" s="31">
        <v>-20.091341774146677</v>
      </c>
      <c r="E9" s="31">
        <v>-19.91848057956975</v>
      </c>
      <c r="F9" s="31">
        <v>-19.74561938499283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2945175000</v>
      </c>
      <c r="C5" s="18">
        <v>3049706000</v>
      </c>
      <c r="D5" s="18">
        <v>2842456000</v>
      </c>
      <c r="E5" s="18">
        <v>2576040000</v>
      </c>
      <c r="F5" s="8" t="s">
        <v>84</v>
      </c>
    </row>
    <row r="6" spans="1:6" x14ac:dyDescent="0.25">
      <c r="A6" t="s">
        <v>44</v>
      </c>
      <c r="B6" s="18">
        <v>555045000</v>
      </c>
      <c r="C6" s="18">
        <v>769702000</v>
      </c>
      <c r="D6" s="18">
        <v>690449000</v>
      </c>
      <c r="E6" s="18">
        <v>613463000</v>
      </c>
      <c r="F6" s="8" t="s">
        <v>85</v>
      </c>
    </row>
    <row r="7" spans="1:6" x14ac:dyDescent="0.25">
      <c r="A7" t="s">
        <v>86</v>
      </c>
      <c r="B7" s="18">
        <v>1312715000</v>
      </c>
      <c r="C7" s="18">
        <v>1116701000</v>
      </c>
      <c r="D7" s="18">
        <v>1000142000</v>
      </c>
      <c r="E7" s="18">
        <v>927800000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297847000</v>
      </c>
      <c r="C9" s="18">
        <v>200455000</v>
      </c>
      <c r="D9" s="18">
        <v>-2029000</v>
      </c>
      <c r="E9" s="18">
        <v>122705000</v>
      </c>
      <c r="F9" s="8" t="s">
        <v>91</v>
      </c>
    </row>
    <row r="10" spans="1:6" x14ac:dyDescent="0.25">
      <c r="A10" t="s">
        <v>92</v>
      </c>
      <c r="B10" s="18">
        <v>12761098000</v>
      </c>
      <c r="C10" s="18">
        <v>12751501000</v>
      </c>
      <c r="D10" s="18">
        <v>11698525000</v>
      </c>
      <c r="E10" s="18">
        <v>10566462000</v>
      </c>
      <c r="F10" s="8" t="s">
        <v>93</v>
      </c>
    </row>
    <row r="11" spans="1:6" x14ac:dyDescent="0.25">
      <c r="A11" t="s">
        <v>94</v>
      </c>
      <c r="B11" s="18">
        <v>549062000</v>
      </c>
      <c r="C11" s="18">
        <v>552146000</v>
      </c>
      <c r="D11" s="18">
        <v>618190000</v>
      </c>
      <c r="E11" s="18">
        <v>825193000</v>
      </c>
      <c r="F11" s="8" t="s">
        <v>95</v>
      </c>
    </row>
    <row r="12" spans="1:6" x14ac:dyDescent="0.25">
      <c r="A12" t="s">
        <v>32</v>
      </c>
      <c r="B12" s="34">
        <v>170307000</v>
      </c>
      <c r="C12" s="34">
        <v>172071000</v>
      </c>
      <c r="D12" s="34">
        <v>170909000</v>
      </c>
      <c r="E12" s="34">
        <v>161659000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