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<sst xmlns="http://schemas.openxmlformats.org/spreadsheetml/2006/main" count="120" uniqueCount="107">
  <si>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Alexandria Real Estate Equities, Inc. (ARE)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</si>
  <si>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</si>
  <si>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</si>
  <si>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</si>
  <si>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</si>
  <si>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</si>
  <si>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</si>
  <si>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</si>
  <si>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</si>
  <si>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</si>
  <si>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</si>
  <si>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</si>
  <si>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</si>
  <si>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</si>
  <si>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</si>
  <si>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</si>
  <si>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</si>
  <si>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</si>
  <si>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</si>
  <si>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</si>
  <si>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</si>
  <si>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</si>
  <si>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</si>
  <si>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</si>
  <si>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+ 138bp, the spread for a BB+ rating at 2.4x interest cover. Book interest / average debt was lower, at 1.8%.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</si>
  <si>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</si>
  <si>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</si>
  <si>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</si>
  <si>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</si>
  <si>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</si>
  <si>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</si>
  <si>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</si>
  <si>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</si>
  <si>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</si>
  <si>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</si>
  <si>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</si>
  <si>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</si>
  <si>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</si>
  <si>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</si>
  <si>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</si>
  <si>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</si>
  <si>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</si>
  <si>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</si>
  <si>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</si>
  <si>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</si>
  <si>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</si>
  <si>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</si>
  <si>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</si>
  <si>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</si>
  <si>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</si>
  <si>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</si>
  <si>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</si>
  <si>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</si>
  <si>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</si>
  <si>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</si>
  <si>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</si>
  <si>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</si>
  <si>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</si>
  <si>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</si>
  <si>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</si>
  <si>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</si>
  <si>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</si>
  <si>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</si>
  <si>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</si>
  <si>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</si>
  <si>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</si>
  <si>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</si>
  <si>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</si>
  <si>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</si>
  <si>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</si>
  <si>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</si>
  <si>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</si>
  <si>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</si>
  <si>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</si>
  <si>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</si>
  <si>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</si>
  <si>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</si>
  <si>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</si>
  <si>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</si>
  <si>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</si>
  <si>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</si>
  <si>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</si>
  <si>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</si>
  <si>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</si>
  <si>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</si>
  <si>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</si>
  <si>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</si>
  <si>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</si>
  <si>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</si>
  <si>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</si>
  <si>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</si>
  <si>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</si>
  <si>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</si>
  <si>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</si>
  <si>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</si>
  <si>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</si>
  <si>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derived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</si>
  <si>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</si>
  <si>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</si>
  <si>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</si>
  <si>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</si>
  <si>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</si>
  <si>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</si>
  <si>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</si>
  <si>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</si>
  <si>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0.00% of revenue, which is too low to be the company's real investment - property trusts and similar structures invest through lines that are not reported as capex. Capex has been set to 40.66% of revenue so the forecast is not handed free growth. Override it if the reported figure is right.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</si>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</sst>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-0.10162716986257181</v>
      </c>
    </row>
    <row r="7" spans="1:2" x14ac:dyDescent="0.25">
      <c r="A7" t="s">
        <v>4</v>
      </c>
      <c r="B7" s="5">
        <v>0.23047309730717658</v>
      </c>
    </row>
    <row r="8" spans="1:2" x14ac:dyDescent="0.25">
      <c r="A8" t="s">
        <v>5</v>
      </c>
      <c r="B8" s="5">
        <v>0</v>
      </c>
    </row>
    <row r="9" spans="1:2" x14ac:dyDescent="0.25">
      <c r="A9" t="s">
        <v>6</v>
      </c>
      <c r="B9" s="5">
        <v>0.3809768816830168</v>
      </c>
    </row>
    <row r="10" spans="1:3" x14ac:dyDescent="0.25">
      <c r="A10" t="s">
        <v>7</v>
      </c>
      <c r="B10" s="5">
        <v>0.40662972714773726</v>
      </c>
      <c r="C10" s="6" t="s">
        <v>8</v>
      </c>
    </row>
    <row r="11" spans="1:2" x14ac:dyDescent="0.25">
      <c r="A11" t="s">
        <v>9</v>
      </c>
      <c r="B11" s="5">
        <v>-0.17217837522362678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10.387516014905556</v>
      </c>
    </row>
    <row r="14" spans="1:3" x14ac:dyDescent="0.25">
      <c r="A14" t="s">
        <v>12</v>
      </c>
      <c r="B14" s="5">
        <v>0.07496094802773957</v>
      </c>
      <c r="C14" s="6" t="s">
        <v>13</v>
      </c>
    </row>
    <row r="15" spans="1:3" x14ac:dyDescent="0.25">
      <c r="A15" t="s">
        <v>14</v>
      </c>
      <c r="B15" s="5">
        <v>0.40662972714773726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1.12797</v>
      </c>
      <c r="C19" s="6" t="s">
        <v>21</v>
      </c>
    </row>
    <row r="20" spans="1:2" x14ac:dyDescent="0.25">
      <c r="A20" t="s">
        <v>22</v>
      </c>
      <c r="B20" s="9">
        <f>B17+B19*B18</f>
        <v>0.096653131</v>
      </c>
    </row>
    <row r="21" spans="1:3" x14ac:dyDescent="0.25">
      <c r="A21" t="s">
        <v>23</v>
      </c>
      <c r="B21" s="5">
        <v>0.06274</v>
      </c>
      <c r="C21" s="6" t="s">
        <v>24</v>
      </c>
    </row>
    <row r="22" spans="1:2" x14ac:dyDescent="0.25">
      <c r="A22" t="s">
        <v>25</v>
      </c>
      <c r="B22" s="10">
        <v>7189350912</v>
      </c>
    </row>
    <row r="23" spans="1:2" x14ac:dyDescent="0.25">
      <c r="A23" t="s">
        <v>26</v>
      </c>
      <c r="B23" s="10">
        <v>12761098000</v>
      </c>
    </row>
    <row r="24" spans="1:2" x14ac:dyDescent="0.25">
      <c r="A24" t="s">
        <v>27</v>
      </c>
      <c r="B24" s="9">
        <f>B22/(B22+B23)</f>
        <v>0.360360357990525</v>
      </c>
    </row>
    <row r="25" spans="1:2" x14ac:dyDescent="0.25">
      <c r="A25" t="s">
        <v>28</v>
      </c>
      <c r="B25" s="9">
        <f>1-B24</f>
        <v>0.639639642009475</v>
      </c>
    </row>
    <row r="26" spans="1:2" x14ac:dyDescent="0.25">
      <c r="A26" t="s">
        <v>29</v>
      </c>
      <c r="B26" s="11">
        <f>B24*B20+B25*B21*(1-B8)</f>
        <v>0.07496094802773957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2945175000</v>
      </c>
      <c r="C29" s="6" t="s">
        <v>32</v>
      </c>
    </row>
    <row r="30" spans="1:2" x14ac:dyDescent="0.25">
      <c r="A30" t="s">
        <v>33</v>
      </c>
      <c r="B30" s="10">
        <v>12212036000</v>
      </c>
    </row>
    <row r="31" spans="1:2" x14ac:dyDescent="0.25">
      <c r="A31" t="s">
        <v>34</v>
      </c>
      <c r="B31" s="12">
        <v>170307000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-0.10162716986257181</v>
      </c>
      <c r="C5" s="5">
        <v>-0.03140937036399283</v>
      </c>
      <c r="D5" s="5">
        <v>-0.024358199068493725</v>
      </c>
      <c r="E5" s="5">
        <v>-0.017307027772994622</v>
      </c>
      <c r="F5" s="5">
        <v>-0.010255856477495516</v>
      </c>
      <c r="G5" s="5">
        <v>-0.0032046851819964133</v>
      </c>
      <c r="H5" s="5">
        <v>0.0038464861135026895</v>
      </c>
      <c r="I5" s="5">
        <v>0.010897657409001796</v>
      </c>
      <c r="J5" s="5">
        <v>0.017948828704500895</v>
      </c>
      <c r="K5" s="5">
        <v>0.025</v>
      </c>
    </row>
    <row r="6" spans="1:11" x14ac:dyDescent="0.25">
      <c r="A6" t="s">
        <v>50</v>
      </c>
      <c r="B6" s="18">
        <f>Assumptions!B29*(1+B5)</f>
        <v>2645865200</v>
      </c>
      <c r="C6" s="18">
        <f>B6*(1+C5)</f>
        <v>2562760240</v>
      </c>
      <c r="D6" s="18">
        <f>C6*(1+D5)</f>
        <v>2500336015.9092593</v>
      </c>
      <c r="E6" s="18">
        <f>D6*(1+E5)</f>
        <v>2457062631.040099</v>
      </c>
      <c r="F6" s="18">
        <f>E6*(1+F5)</f>
        <v>2431863349.3399343</v>
      </c>
      <c r="G6" s="18">
        <f>F6*(1+G5)</f>
        <v>2424069992.8996644</v>
      </c>
      <c r="H6" s="18">
        <f>G6*(1+H5)</f>
        <v>2433394144.4655113</v>
      </c>
      <c r="I6" s="18">
        <f>H6*(1+I5)</f>
        <v>2459912440.1929674</v>
      </c>
      <c r="J6" s="18">
        <f>I6*(1+J5)</f>
        <v>2504064987.2100616</v>
      </c>
      <c r="K6" s="18">
        <f>J6*(1+K5)</f>
        <v>2566666611.8903127</v>
      </c>
    </row>
    <row r="7" spans="1:11" x14ac:dyDescent="0.25">
      <c r="A7" t="s">
        <v>4</v>
      </c>
      <c r="B7" s="9">
        <f>Assumptions!B7</f>
        <v>0.23047309730717658</v>
      </c>
      <c r="C7" s="9">
        <f>Assumptions!B7</f>
        <v>0.23047309730717658</v>
      </c>
      <c r="D7" s="9">
        <f>Assumptions!B7</f>
        <v>0.23047309730717658</v>
      </c>
      <c r="E7" s="9">
        <f>Assumptions!B7</f>
        <v>0.23047309730717658</v>
      </c>
      <c r="F7" s="9">
        <f>Assumptions!B7</f>
        <v>0.23047309730717658</v>
      </c>
      <c r="G7" s="9">
        <f>Assumptions!B7</f>
        <v>0.23047309730717658</v>
      </c>
      <c r="H7" s="9">
        <f>Assumptions!B7</f>
        <v>0.23047309730717658</v>
      </c>
      <c r="I7" s="9">
        <f>Assumptions!B7</f>
        <v>0.23047309730717658</v>
      </c>
      <c r="J7" s="9">
        <f>Assumptions!B7</f>
        <v>0.23047309730717658</v>
      </c>
      <c r="K7" s="9">
        <f>Assumptions!B7</f>
        <v>0.23047309730717658</v>
      </c>
    </row>
    <row r="8" spans="1:11" x14ac:dyDescent="0.25">
      <c r="A8" t="s">
        <v>51</v>
      </c>
      <c r="B8" s="18">
        <f>B6*B7</f>
        <v>609800747.7012722</v>
      </c>
      <c r="C8" s="18">
        <f>C6*C7</f>
        <v>590647290.1684833</v>
      </c>
      <c r="D8" s="18">
        <f>D6*D7</f>
        <v>576260185.8952929</v>
      </c>
      <c r="E8" s="18">
        <f>E6*E7</f>
        <v>566286834.8535321</v>
      </c>
      <c r="F8" s="18">
        <f>F6*F7</f>
        <v>560479078.3501791</v>
      </c>
      <c r="G8" s="18">
        <f>G6*G7</f>
        <v>558682919.3529712</v>
      </c>
      <c r="H8" s="18">
        <f>H6*H7</f>
        <v>560831885.4441135</v>
      </c>
      <c r="I8" s="18">
        <f>I6*I7</f>
        <v>566943639.195728</v>
      </c>
      <c r="J8" s="18">
        <f>J6*J7</f>
        <v>577119613.4607583</v>
      </c>
      <c r="K8" s="18">
        <f>K6*K7</f>
        <v>591547603.7972772</v>
      </c>
    </row>
    <row r="9" spans="1:11" x14ac:dyDescent="0.25">
      <c r="A9" t="s">
        <v>52</v>
      </c>
      <c r="B9" s="18">
        <f>B8*(1-Assumptions!B8)</f>
        <v>609800747.7012722</v>
      </c>
      <c r="C9" s="18">
        <f>C8*(1-Assumptions!B8)</f>
        <v>590647290.1684833</v>
      </c>
      <c r="D9" s="18">
        <f>D8*(1-Assumptions!B8)</f>
        <v>576260185.8952929</v>
      </c>
      <c r="E9" s="18">
        <f>E8*(1-Assumptions!B8)</f>
        <v>566286834.8535321</v>
      </c>
      <c r="F9" s="18">
        <f>F8*(1-Assumptions!B8)</f>
        <v>560479078.3501791</v>
      </c>
      <c r="G9" s="18">
        <f>G8*(1-Assumptions!B8)</f>
        <v>558682919.3529712</v>
      </c>
      <c r="H9" s="18">
        <f>H8*(1-Assumptions!B8)</f>
        <v>560831885.4441135</v>
      </c>
      <c r="I9" s="18">
        <f>I8*(1-Assumptions!B8)</f>
        <v>566943639.195728</v>
      </c>
      <c r="J9" s="18">
        <f>J8*(1-Assumptions!B8)</f>
        <v>577119613.4607583</v>
      </c>
      <c r="K9" s="18">
        <f>K8*(1-Assumptions!B8)</f>
        <v>591547603.7972772</v>
      </c>
    </row>
    <row r="10" spans="1:11" x14ac:dyDescent="0.25">
      <c r="A10" t="s">
        <v>53</v>
      </c>
      <c r="B10" s="18">
        <f>B6*Assumptions!B9</f>
        <v>1008013473.2496116</v>
      </c>
      <c r="C10" s="18">
        <f>C6*Assumptions!B9</f>
        <v>976352404.7364197</v>
      </c>
      <c r="D10" s="18">
        <f>D6*Assumptions!B9</f>
        <v>952570218.5008475</v>
      </c>
      <c r="E10" s="18">
        <f>E6*Assumptions!B9</f>
        <v>936084059.2735258</v>
      </c>
      <c r="F10" s="18">
        <f>F6*Assumptions!B9</f>
        <v>926483715.5107452</v>
      </c>
      <c r="G10" s="18">
        <f>G6*Assumptions!B9</f>
        <v>923514626.8762869</v>
      </c>
      <c r="H10" s="18">
        <f>H6*Assumptions!B9</f>
        <v>927066913.064183</v>
      </c>
      <c r="I10" s="18">
        <f>I6*Assumptions!B9</f>
        <v>937169770.6779773</v>
      </c>
      <c r="J10" s="18">
        <f>J6*Assumptions!B9</f>
        <v>953990870.3589126</v>
      </c>
      <c r="K10" s="18">
        <f>K6*Assumptions!B9</f>
        <v>977840642.1178852</v>
      </c>
    </row>
    <row r="11" spans="1:11" x14ac:dyDescent="0.25">
      <c r="A11" t="s">
        <v>54</v>
      </c>
      <c r="B11" s="18">
        <f>-B6*B19</f>
        <v>-1075887444.3456933</v>
      </c>
      <c r="C11" s="18">
        <f>-C6*C19</f>
        <v>-1056677042.2872779</v>
      </c>
      <c r="D11" s="18">
        <f>-D6*D19</f>
        <v>-1045165633.153432</v>
      </c>
      <c r="E11" s="18">
        <f>-E6*E19</f>
        <v>-1041058030.1472306</v>
      </c>
      <c r="F11" s="18">
        <f>-F6*F19</f>
        <v>-1044218807.8061687</v>
      </c>
      <c r="G11" s="18">
        <f>-G6*G19</f>
        <v>-1054665789.1325858</v>
      </c>
      <c r="H11" s="18">
        <f>-H6*H19</f>
        <v>-1072568976.3324622</v>
      </c>
      <c r="I11" s="18">
        <f>-I6*I19</f>
        <v>-1098254789.1209013</v>
      </c>
      <c r="J11" s="18">
        <f>-J6*J19</f>
        <v>-1132215735.3040588</v>
      </c>
      <c r="K11" s="18">
        <f>-K6*K19</f>
        <v>-1175125901.7634718</v>
      </c>
    </row>
    <row r="12" spans="1:11" x14ac:dyDescent="0.25">
      <c r="A12" t="s">
        <v>55</v>
      </c>
      <c r="B12" s="18">
        <f>-(B6-Assumptions!B29)*Assumptions!B11</f>
        <v>-51534675.05250869</v>
      </c>
      <c r="C12" s="18">
        <f>-(C6-B6)*Assumptions!B11</f>
        <v>-14308876.985824494</v>
      </c>
      <c r="D12" s="18">
        <f>-(D6-C6)*Assumptions!B11</f>
        <v>-10748101.47853931</v>
      </c>
      <c r="E12" s="18">
        <f>-(E6-D6)*Assumptions!B11</f>
        <v>-7450741.097198674</v>
      </c>
      <c r="F12" s="18">
        <f>-(F6-E6)*Assumptions!B11</f>
        <v>-4338771.379936846</v>
      </c>
      <c r="G12" s="18">
        <f>-(G6-F6)*Assumptions!B11</f>
        <v>-1341847.4494242673</v>
      </c>
      <c r="H12" s="18">
        <f>-(H6-G6)*Assumptions!B11</f>
        <v>1605417.2669463581</v>
      </c>
      <c r="I12" s="18">
        <f>-(I6-H6)*Assumptions!B11</f>
        <v>4565877.072053034</v>
      </c>
      <c r="J12" s="18">
        <f>-(J6-I6)*Assumptions!B11</f>
        <v>7602113.807388057</v>
      </c>
      <c r="K12" s="18">
        <f>-(K6-J6)*Assumptions!B11</f>
        <v>10778646.023804933</v>
      </c>
    </row>
    <row r="13" spans="1:11" x14ac:dyDescent="0.25">
      <c r="A13" s="19" t="s">
        <v>56</v>
      </c>
      <c r="B13" s="20">
        <f>B9+B10+B11+B12</f>
        <v>490392101.5526818</v>
      </c>
      <c r="C13" s="20">
        <f>C9+C10+C11+C12</f>
        <v>496013775.63180053</v>
      </c>
      <c r="D13" s="20">
        <f>D9+D10+D11+D12</f>
        <v>472916669.76416904</v>
      </c>
      <c r="E13" s="20">
        <f>E9+E10+E11+E12</f>
        <v>453862122.88262874</v>
      </c>
      <c r="F13" s="20">
        <f>F9+F10+F11+F12</f>
        <v>438405214.6748187</v>
      </c>
      <c r="G13" s="20">
        <f>G9+G10+G11+G12</f>
        <v>426189909.647248</v>
      </c>
      <c r="H13" s="20">
        <f>H9+H10+H11+H12</f>
        <v>416935239.4427807</v>
      </c>
      <c r="I13" s="20">
        <f>I9+I10+I11+I12</f>
        <v>410424497.82485706</v>
      </c>
      <c r="J13" s="20">
        <f>J9+J10+J11+J12</f>
        <v>406496862.3230002</v>
      </c>
      <c r="K13" s="20">
        <f>K9+K10+K11+K12</f>
        <v>405040990.1754956</v>
      </c>
    </row>
    <row r="14" spans="1:11" x14ac:dyDescent="0.25">
      <c r="A14" t="s">
        <v>57</v>
      </c>
      <c r="B14" s="21">
        <f>1/(1+Assumptions!$B$26)^(1-0.5*Assumptions!$B$32)</f>
        <v>0.9645031634537848</v>
      </c>
      <c r="C14" s="21">
        <f>1/(1+Assumptions!$B$26)^(2-0.5*Assumptions!$B$32)</f>
        <v>0.8972448396598829</v>
      </c>
      <c r="D14" s="21">
        <f>1/(1+Assumptions!$B$26)^(3-0.5*Assumptions!$B$32)</f>
        <v>0.8346766841214862</v>
      </c>
      <c r="E14" s="21">
        <f>1/(1+Assumptions!$B$26)^(4-0.5*Assumptions!$B$32)</f>
        <v>0.7764716342978696</v>
      </c>
      <c r="F14" s="21">
        <f>1/(1+Assumptions!$B$26)^(5-0.5*Assumptions!$B$32)</f>
        <v>0.7223254349122946</v>
      </c>
      <c r="G14" s="21">
        <f>1/(1+Assumptions!$B$26)^(6-0.5*Assumptions!$B$32)</f>
        <v>0.6719550475182983</v>
      </c>
      <c r="H14" s="21">
        <f>1/(1+Assumptions!$B$26)^(7-0.5*Assumptions!$B$32)</f>
        <v>0.6250971709727248</v>
      </c>
      <c r="I14" s="21">
        <f>1/(1+Assumptions!$B$26)^(8-0.5*Assumptions!$B$32)</f>
        <v>0.5815068650815713</v>
      </c>
      <c r="J14" s="21">
        <f>1/(1+Assumptions!$B$26)^(9-0.5*Assumptions!$B$32)</f>
        <v>0.5409562702240281</v>
      </c>
      <c r="K14" s="21">
        <f>1/(1+Assumptions!$B$26)^(10-0.5*Assumptions!$B$32)</f>
        <v>0.5032334162618052</v>
      </c>
    </row>
    <row r="15" spans="1:11" x14ac:dyDescent="0.25">
      <c r="A15" s="19" t="s">
        <v>58</v>
      </c>
      <c r="B15" s="20">
        <f>B13*B14</f>
        <v>472984733.2803113</v>
      </c>
      <c r="C15" s="20">
        <f>C13*C14</f>
        <v>445045800.585848</v>
      </c>
      <c r="D15" s="20">
        <f>D13*D14</f>
        <v>394732517.78453255</v>
      </c>
      <c r="E15" s="20">
        <f>E13*E14</f>
        <v>352411064.30057526</v>
      </c>
      <c r="F15" s="20">
        <f>F13*F14</f>
        <v>316671237.3578063</v>
      </c>
      <c r="G15" s="20">
        <f>G13*G14</f>
        <v>286380460.9888358</v>
      </c>
      <c r="H15" s="20">
        <f>H13*H14</f>
        <v>260625038.6545178</v>
      </c>
      <c r="I15" s="20">
        <f>I13*I14</f>
        <v>238664663.08281082</v>
      </c>
      <c r="J15" s="20">
        <f>J13*J14</f>
        <v>219897026.50002044</v>
      </c>
      <c r="K15" s="20">
        <f>K13*K14</f>
        <v>203830161.21207893</v>
      </c>
    </row>
    <row r="17" spans="1:2" x14ac:dyDescent="0.25">
      <c r="A17" s="22" t="s">
        <v>59</v>
      </c>
      <c r="B17" s="23">
        <f>SUM(B15:K15)</f>
        <v>3191242703.7473373</v>
      </c>
    </row>
    <row r="19" spans="1:11" x14ac:dyDescent="0.25">
      <c r="A19" t="s">
        <v>7</v>
      </c>
      <c r="B19" s="9">
        <f>Assumptions!$B$10+($B$20-Assumptions!$B$10)*0/9</f>
        <v>0.40662972714773726</v>
      </c>
      <c r="C19" s="9">
        <f>Assumptions!$B$10+($B$20-Assumptions!$B$10)*1/9</f>
        <v>0.4123198985978017</v>
      </c>
      <c r="D19" s="9">
        <f>Assumptions!$B$10+($B$20-Assumptions!$B$10)*2/9</f>
        <v>0.4180100700478661</v>
      </c>
      <c r="E19" s="9">
        <f>Assumptions!$B$10+($B$20-Assumptions!$B$10)*3/9</f>
        <v>0.42370024149793056</v>
      </c>
      <c r="F19" s="9">
        <f>Assumptions!$B$10+($B$20-Assumptions!$B$10)*4/9</f>
        <v>0.429390412947995</v>
      </c>
      <c r="G19" s="9">
        <f>Assumptions!$B$10+($B$20-Assumptions!$B$10)*5/9</f>
        <v>0.4350805843980594</v>
      </c>
      <c r="H19" s="9">
        <f>Assumptions!$B$10+($B$20-Assumptions!$B$10)*6/9</f>
        <v>0.44077075584812386</v>
      </c>
      <c r="I19" s="9">
        <f>Assumptions!$B$10+($B$20-Assumptions!$B$10)*7/9</f>
        <v>0.4464609272981883</v>
      </c>
      <c r="J19" s="9">
        <f>Assumptions!$B$10+($B$20-Assumptions!$B$10)*8/9</f>
        <v>0.4521510987482527</v>
      </c>
      <c r="K19" s="9">
        <f>Assumptions!$B$10+($B$20-Assumptions!$B$10)*9/9</f>
        <v>0.45784127019831716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0.45784127019831716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405040990.1754956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591547603.7972772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0.333506988075293</v>
      </c>
    </row>
    <row r="7" spans="1:2" x14ac:dyDescent="0.25">
      <c r="A7" t="s">
        <v>66</v>
      </c>
      <c r="B7" s="18">
        <f>-MAX(B5,0)*B6</f>
        <v>-197285259.64558667</v>
      </c>
    </row>
    <row r="8" spans="1:2" x14ac:dyDescent="0.25">
      <c r="A8" t="s">
        <v>67</v>
      </c>
      <c r="B8" s="18">
        <f>IF(OR(Assumptions!$B$33=0,Assumptions!B12&lt;=0),B5,MAX(B5+B7,0))</f>
        <v>394262344.15169054</v>
      </c>
    </row>
    <row r="9" spans="1:2" x14ac:dyDescent="0.25">
      <c r="A9" t="s">
        <v>68</v>
      </c>
      <c r="B9" s="18">
        <f>B8*(1+Assumptions!B12)/(Assumptions!B26-Assumptions!B12)</f>
        <v>8088695645.469054</v>
      </c>
    </row>
    <row r="10" spans="1:2" x14ac:dyDescent="0.25">
      <c r="A10" t="s">
        <v>69</v>
      </c>
      <c r="B10" s="18">
        <f>B9/(1+Assumptions!B26)^(10-0.5*Assumptions!B32)</f>
        <v>4070501942.7713795</v>
      </c>
    </row>
    <row r="11" spans="1:2" x14ac:dyDescent="0.25">
      <c r="A11" t="s">
        <v>70</v>
      </c>
      <c r="B11" s="18">
        <f>Forecast!B17+B10</f>
        <v>7261744646.518717</v>
      </c>
    </row>
    <row r="12" spans="1:2" x14ac:dyDescent="0.25">
      <c r="A12" t="s">
        <v>71</v>
      </c>
      <c r="B12" s="18">
        <f>-Assumptions!B30</f>
        <v>-12212036000</v>
      </c>
    </row>
    <row r="13" spans="1:2" x14ac:dyDescent="0.25">
      <c r="A13" t="s">
        <v>72</v>
      </c>
      <c r="B13" s="18">
        <f>B11+B12</f>
        <v>-4950291353.481283</v>
      </c>
    </row>
    <row r="14" spans="1:2" x14ac:dyDescent="0.25">
      <c r="A14" s="19" t="s">
        <v>73</v>
      </c>
      <c r="B14" s="24">
        <f>B13/Assumptions!B31</f>
        <v>-29.066869556044573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1569388245.9151626</v>
      </c>
    </row>
    <row r="18" spans="1:2" x14ac:dyDescent="0.25">
      <c r="A18" t="s">
        <v>68</v>
      </c>
      <c r="B18" s="18">
        <f>B17*Assumptions!B13</f>
        <v>16302045538.04829</v>
      </c>
    </row>
    <row r="19" spans="1:2" x14ac:dyDescent="0.25">
      <c r="A19" t="s">
        <v>69</v>
      </c>
      <c r="B19" s="18">
        <f>B18/(1+Assumptions!B26)^(10-0.5*Assumptions!B32)</f>
        <v>8203734068.167559</v>
      </c>
    </row>
    <row r="20" spans="1:2" x14ac:dyDescent="0.25">
      <c r="A20" t="s">
        <v>70</v>
      </c>
      <c r="B20" s="18">
        <f>Forecast!B17+B19</f>
        <v>11394976771.914896</v>
      </c>
    </row>
    <row r="21" spans="1:2" x14ac:dyDescent="0.25">
      <c r="A21" t="s">
        <v>71</v>
      </c>
      <c r="B21" s="18">
        <f>-Assumptions!B30</f>
        <v>-12212036000</v>
      </c>
    </row>
    <row r="22" spans="1:2" x14ac:dyDescent="0.25">
      <c r="A22" t="s">
        <v>72</v>
      </c>
      <c r="B22" s="18">
        <f>B20+B21</f>
        <v>-817059228.085104</v>
      </c>
    </row>
    <row r="23" spans="1:2" x14ac:dyDescent="0.25">
      <c r="A23" s="19" t="s">
        <v>73</v>
      </c>
      <c r="B23" s="25">
        <f>B22/Assumptions!B31</f>
        <v>-4.79756691201832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41.28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-29.066869556044573</v>
      </c>
    </row>
    <row r="29" spans="1:2" x14ac:dyDescent="0.25">
      <c r="A29" s="19" t="s">
        <v>81</v>
      </c>
      <c r="B29" s="11">
        <f>B28/B26-1</f>
        <v>-1.7041392818809247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0.054961</v>
      </c>
      <c r="B5" s="31">
        <v>-12.104364930665296</v>
      </c>
      <c r="C5" s="31">
        <v>-12.980933442798968</v>
      </c>
      <c r="D5" s="31">
        <v>-13.857501954932617</v>
      </c>
      <c r="E5" s="31">
        <v>-14.734070467066278</v>
      </c>
      <c r="F5" s="31">
        <v>-15.610638979199937</v>
      </c>
    </row>
    <row r="6" spans="1:6" x14ac:dyDescent="0.25">
      <c r="A6" s="30">
        <v>0.064961</v>
      </c>
      <c r="B6" s="31">
        <v>-21.23254255064907</v>
      </c>
      <c r="C6" s="31">
        <v>-21.933797599275714</v>
      </c>
      <c r="D6" s="31">
        <v>-22.635052647902373</v>
      </c>
      <c r="E6" s="31">
        <v>-23.336307696529023</v>
      </c>
      <c r="F6" s="31">
        <v>-24.03756274515569</v>
      </c>
    </row>
    <row r="7" spans="1:6" x14ac:dyDescent="0.25">
      <c r="A7" s="30">
        <v>0.074961</v>
      </c>
      <c r="B7" s="31">
        <v>-27.916630815358864</v>
      </c>
      <c r="C7" s="31">
        <v>-28.49176466524894</v>
      </c>
      <c r="D7" s="32">
        <v>-29.066898515139037</v>
      </c>
      <c r="E7" s="31">
        <v>-29.64203236502912</v>
      </c>
      <c r="F7" s="31">
        <v>-30.217166214919207</v>
      </c>
    </row>
    <row r="8" spans="1:6" x14ac:dyDescent="0.25">
      <c r="A8" s="30">
        <v>0.084961</v>
      </c>
      <c r="B8" s="31">
        <v>-33.020271457519016</v>
      </c>
      <c r="C8" s="31">
        <v>-33.50093402952032</v>
      </c>
      <c r="D8" s="31">
        <v>-33.98159660152163</v>
      </c>
      <c r="E8" s="31">
        <v>-34.46225917352293</v>
      </c>
      <c r="F8" s="31">
        <v>-34.94292174552424</v>
      </c>
    </row>
    <row r="9" spans="1:6" x14ac:dyDescent="0.25">
      <c r="A9" s="30">
        <v>0.094961</v>
      </c>
      <c r="B9" s="31">
        <v>-37.043270718763765</v>
      </c>
      <c r="C9" s="31">
        <v>-37.450972929254654</v>
      </c>
      <c r="D9" s="31">
        <v>-37.85867513974557</v>
      </c>
      <c r="E9" s="31">
        <v>-38.26637735023647</v>
      </c>
      <c r="F9" s="31">
        <v>-38.67407956072737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2945175000</v>
      </c>
      <c r="C5" s="18">
        <v>3049706000</v>
      </c>
      <c r="D5" s="18">
        <v>2842456000</v>
      </c>
      <c r="E5" s="18">
        <v>2576040000</v>
      </c>
      <c r="F5" s="6" t="s">
        <v>91</v>
      </c>
    </row>
    <row r="6" spans="1:6" x14ac:dyDescent="0.25">
      <c r="A6" t="s">
        <v>51</v>
      </c>
      <c r="B6" s="18">
        <v>555045000</v>
      </c>
      <c r="C6" s="18">
        <v>769702000</v>
      </c>
      <c r="D6" s="18">
        <v>690449000</v>
      </c>
      <c r="E6" s="18">
        <v>613463000</v>
      </c>
      <c r="F6" s="6" t="s">
        <v>92</v>
      </c>
    </row>
    <row r="7" spans="1:6" x14ac:dyDescent="0.25">
      <c r="A7" t="s">
        <v>93</v>
      </c>
      <c r="B7" s="18">
        <v>1312715000</v>
      </c>
      <c r="C7" s="18">
        <v>1116701000</v>
      </c>
      <c r="D7" s="18">
        <v>1000142000</v>
      </c>
      <c r="E7" s="18">
        <v>927800000</v>
      </c>
      <c r="F7" s="6" t="s">
        <v>94</v>
      </c>
    </row>
    <row r="8" spans="1:6" x14ac:dyDescent="0.25">
      <c r="A8" t="s">
        <v>95</v>
      </c>
      <c r="B8" s="18">
        <v>0</v>
      </c>
      <c r="C8" s="18">
        <v>0</v>
      </c>
      <c r="D8" s="18">
        <v>0</v>
      </c>
      <c r="E8" s="18">
        <v>0</v>
      </c>
      <c r="F8" s="6" t="s">
        <v>96</v>
      </c>
    </row>
    <row r="9" spans="1:6" x14ac:dyDescent="0.25">
      <c r="A9" t="s">
        <v>97</v>
      </c>
      <c r="B9" s="18">
        <v>297847000</v>
      </c>
      <c r="C9" s="18">
        <v>200455000</v>
      </c>
      <c r="D9" s="18">
        <v>-2029000</v>
      </c>
      <c r="E9" s="18">
        <v>122705000</v>
      </c>
      <c r="F9" s="6" t="s">
        <v>98</v>
      </c>
    </row>
    <row r="10" spans="1:6" x14ac:dyDescent="0.25">
      <c r="A10" t="s">
        <v>99</v>
      </c>
      <c r="B10" s="18">
        <v>12761098000</v>
      </c>
      <c r="C10" s="18">
        <v>12751501000</v>
      </c>
      <c r="D10" s="18">
        <v>11698525000</v>
      </c>
      <c r="E10" s="18">
        <v>10566462000</v>
      </c>
      <c r="F10" s="6" t="s">
        <v>100</v>
      </c>
    </row>
    <row r="11" spans="1:6" x14ac:dyDescent="0.25">
      <c r="A11" t="s">
        <v>101</v>
      </c>
      <c r="B11" s="18">
        <v>549062000</v>
      </c>
      <c r="C11" s="18">
        <v>552146000</v>
      </c>
      <c r="D11" s="18">
        <v>618190000</v>
      </c>
      <c r="E11" s="18">
        <v>825193000</v>
      </c>
      <c r="F11" s="6" t="s">
        <v>102</v>
      </c>
    </row>
    <row r="12" spans="1:6" x14ac:dyDescent="0.25">
      <c r="A12" t="s">
        <v>34</v>
      </c>
      <c r="B12" s="34">
        <v>170307000</v>
      </c>
      <c r="C12" s="34">
        <v>172071000</v>
      </c>
      <c r="D12" s="34">
        <v>170909000</v>
      </c>
      <c r="E12" s="34">
        <v>161659000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