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<sst xmlns="http://schemas.openxmlformats.org/spreadsheetml/2006/main" count="114" uniqueCount="102">
  <si>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Ares Management Corporation (ARES)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</si>
  <si>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</si>
  <si>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</si>
  <si>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</si>
  <si>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</si>
  <si>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</si>
  <si>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</si>
  <si>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</si>
  <si>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</si>
  <si>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</si>
  <si>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</si>
  <si>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</si>
  <si>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</si>
  <si>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</si>
  <si>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</si>
  <si>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</si>
  <si>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</si>
  <si>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</si>
  <si>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</si>
  <si>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</si>
  <si>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</si>
  <si>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</si>
  <si>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</si>
  <si>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</si>
  <si>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</si>
  <si>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</si>
  <si>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</si>
  <si>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</si>
  <si>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</si>
  <si>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</si>
  <si>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</si>
  <si>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</si>
  <si>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</si>
  <si>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</si>
  <si>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</si>
  <si>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</si>
  <si>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</si>
  <si>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</si>
  <si>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</si>
  <si>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</si>
  <si>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</si>
  <si>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</si>
  <si>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</si>
  <si>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</si>
  <si>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</si>
  <si>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</si>
  <si>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</si>
  <si>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</si>
  <si>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</si>
  <si>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</si>
  <si>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</si>
  <si>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</si>
  <si>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</si>
  <si>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</si>
  <si>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</si>
  <si>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</si>
  <si>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</si>
  <si>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</si>
  <si>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</si>
  <si>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</si>
  <si>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</si>
  <si>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</si>
  <si>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</si>
  <si>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</si>
  <si>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</si>
  <si>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</si>
  <si>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</si>
  <si>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</si>
  <si>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</si>
  <si>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</si>
  <si>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</si>
  <si>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</si>
  <si>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</si>
  <si>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</si>
  <si>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</si>
  <si>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</si>
  <si>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</si>
  <si>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</si>
  <si>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</si>
  <si>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</si>
  <si>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</si>
  <si>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</si>
  <si>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</si>
  <si>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</si>
  <si>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</si>
  <si>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</si>
  <si>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</si>
  <si>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</si>
  <si>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</si>
  <si>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</si>
  <si>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</si>
  <si>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</si>
  <si>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</si>
  <si>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</si>
  <si>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</si>
  <si>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</si>
  <si>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</si>
  <si>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</si>
  <si>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</si>
  <si>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1.67% of revenue against depreciation and amortisation of 6.49%. A business cannot depreciate more than it invests indefinitely. Capex has been set to 6.49%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</si>
  <si>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47.4x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</si>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</sst>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0.22389150252192347</v>
      </c>
    </row>
    <row r="7" spans="1:2" x14ac:dyDescent="0.25">
      <c r="A7" t="s">
        <v>5</v>
      </c>
      <c r="B7" s="6">
        <v>0.18320382200493748</v>
      </c>
    </row>
    <row r="8" spans="1:2" x14ac:dyDescent="0.25">
      <c r="A8" t="s">
        <v>6</v>
      </c>
      <c r="B8" s="6">
        <v>0.13524743896821106</v>
      </c>
    </row>
    <row r="9" spans="1:2" x14ac:dyDescent="0.25">
      <c r="A9" t="s">
        <v>7</v>
      </c>
      <c r="B9" s="6">
        <v>0.06493585135892602</v>
      </c>
    </row>
    <row r="10" spans="1:2" x14ac:dyDescent="0.25">
      <c r="A10" t="s">
        <v>8</v>
      </c>
      <c r="B10" s="6">
        <v>0.06493585135892602</v>
      </c>
    </row>
    <row r="11" spans="1:2" x14ac:dyDescent="0.25">
      <c r="A11" t="s">
        <v>9</v>
      </c>
      <c r="B11" s="6">
        <v>0.7393540709283344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0.10460339696815835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1.34639</v>
      </c>
      <c r="C19" s="8" t="s">
        <v>19</v>
      </c>
    </row>
    <row r="20" spans="1:2" x14ac:dyDescent="0.25">
      <c r="A20" t="s">
        <v>20</v>
      </c>
      <c r="B20" s="10">
        <f>B17+B19*B18</f>
        <v>0.12403145000000002</v>
      </c>
    </row>
    <row r="21" spans="1:3" x14ac:dyDescent="0.25">
      <c r="A21" t="s">
        <v>21</v>
      </c>
      <c r="B21" s="6">
        <v>0.05607990257152725</v>
      </c>
      <c r="C21" s="8" t="s">
        <v>22</v>
      </c>
    </row>
    <row r="22" spans="1:2" x14ac:dyDescent="0.25">
      <c r="A22" t="s">
        <v>23</v>
      </c>
      <c r="B22" s="11">
        <v>41073860608</v>
      </c>
    </row>
    <row r="23" spans="1:2" x14ac:dyDescent="0.25">
      <c r="A23" t="s">
        <v>24</v>
      </c>
      <c r="B23" s="11">
        <v>14222266000</v>
      </c>
    </row>
    <row r="24" spans="1:2" x14ac:dyDescent="0.25">
      <c r="A24" t="s">
        <v>25</v>
      </c>
      <c r="B24" s="10">
        <f>B22/(B22+B23)</f>
        <v>0.742798151110599</v>
      </c>
    </row>
    <row r="25" spans="1:2" x14ac:dyDescent="0.25">
      <c r="A25" t="s">
        <v>26</v>
      </c>
      <c r="B25" s="10">
        <f>1-B24</f>
        <v>0.257201848889401</v>
      </c>
    </row>
    <row r="26" spans="1:2" x14ac:dyDescent="0.25">
      <c r="A26" t="s">
        <v>27</v>
      </c>
      <c r="B26" s="12">
        <f>B24*B20+B25*B21*(1-B8)</f>
        <v>0.10460339696815835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5601482000</v>
      </c>
      <c r="C29" s="8" t="s">
        <v>30</v>
      </c>
    </row>
    <row r="30" spans="1:2" x14ac:dyDescent="0.25">
      <c r="A30" t="s">
        <v>31</v>
      </c>
      <c r="B30" s="11">
        <v>12774282000</v>
      </c>
    </row>
    <row r="31" spans="1:2" x14ac:dyDescent="0.25">
      <c r="A31" t="s">
        <v>32</v>
      </c>
      <c r="B31" s="13">
        <v>217361945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0.22389150252192347</v>
      </c>
      <c r="C5" s="10">
        <f>Assumptions!B6</f>
        <v>0.22389150252192347</v>
      </c>
      <c r="D5" s="10">
        <f>Assumptions!B6</f>
        <v>0.22389150252192347</v>
      </c>
      <c r="E5" s="10">
        <f>Assumptions!B6</f>
        <v>0.22389150252192347</v>
      </c>
      <c r="F5" s="10">
        <f>Assumptions!B6</f>
        <v>0.22389150252192347</v>
      </c>
    </row>
    <row r="6" spans="1:6" x14ac:dyDescent="0.25">
      <c r="A6" t="s">
        <v>43</v>
      </c>
      <c r="B6" s="18">
        <f>Assumptions!B29*(1+B5)</f>
        <v>6855606221.329509</v>
      </c>
      <c r="C6" s="18">
        <f>B6*(1+C5)</f>
        <v>8390518198.921618</v>
      </c>
      <c r="D6" s="18">
        <f>C6*(1+D5)</f>
        <v>10269083925.415722</v>
      </c>
      <c r="E6" s="18">
        <f>D6*(1+E5)</f>
        <v>12568244555.00078</v>
      </c>
      <c r="F6" s="18">
        <f>E6*(1+F5)</f>
        <v>15382167712.482887</v>
      </c>
    </row>
    <row r="7" spans="1:6" x14ac:dyDescent="0.25">
      <c r="A7" t="s">
        <v>5</v>
      </c>
      <c r="B7" s="10">
        <f>Assumptions!B7</f>
        <v>0.18320382200493748</v>
      </c>
      <c r="C7" s="10">
        <f>Assumptions!B7</f>
        <v>0.18320382200493748</v>
      </c>
      <c r="D7" s="10">
        <f>Assumptions!B7</f>
        <v>0.18320382200493748</v>
      </c>
      <c r="E7" s="10">
        <f>Assumptions!B7</f>
        <v>0.18320382200493748</v>
      </c>
      <c r="F7" s="10">
        <f>Assumptions!B7</f>
        <v>0.18320382200493748</v>
      </c>
    </row>
    <row r="8" spans="1:6" x14ac:dyDescent="0.25">
      <c r="A8" t="s">
        <v>44</v>
      </c>
      <c r="B8" s="18">
        <f>B6*B7</f>
        <v>1255973261.9083934</v>
      </c>
      <c r="C8" s="18">
        <f>C6*C7</f>
        <v>1537175002.644425</v>
      </c>
      <c r="D8" s="18">
        <f>D6*D7</f>
        <v>1881335423.6256266</v>
      </c>
      <c r="E8" s="18">
        <f>E6*E7</f>
        <v>2302550438.3688874</v>
      </c>
      <c r="F8" s="18">
        <f>F6*F7</f>
        <v>2818071915.6478114</v>
      </c>
    </row>
    <row r="9" spans="1:6" x14ac:dyDescent="0.25">
      <c r="A9" t="s">
        <v>45</v>
      </c>
      <c r="B9" s="18">
        <f>B8*(1-Assumptions!B8)</f>
        <v>1086106094.8227332</v>
      </c>
      <c r="C9" s="18">
        <f>C8*(1-Assumptions!B8)</f>
        <v>1329276020.2908134</v>
      </c>
      <c r="D9" s="18">
        <f>D8*(1-Assumptions!B8)</f>
        <v>1626889625.7400863</v>
      </c>
      <c r="E9" s="18">
        <f>E8*(1-Assumptions!B8)</f>
        <v>1991136388.4843638</v>
      </c>
      <c r="F9" s="18">
        <f>F8*(1-Assumptions!B8)</f>
        <v>2436934906.2282047</v>
      </c>
    </row>
    <row r="10" spans="1:6" x14ac:dyDescent="0.25">
      <c r="A10" t="s">
        <v>46</v>
      </c>
      <c r="B10" s="18">
        <f>B6*Assumptions!B9</f>
        <v>445174626.56358147</v>
      </c>
      <c r="C10" s="18">
        <f>C6*Assumptions!B9</f>
        <v>544845442.5895379</v>
      </c>
      <c r="D10" s="18">
        <f>D6*Assumptions!B9</f>
        <v>666831707.3731319</v>
      </c>
      <c r="E10" s="18">
        <f>E6*Assumptions!B9</f>
        <v>816129660.2661619</v>
      </c>
      <c r="F10" s="18">
        <f>F6*Assumptions!B9</f>
        <v>998854156.1558598</v>
      </c>
    </row>
    <row r="11" spans="1:6" x14ac:dyDescent="0.25">
      <c r="A11" t="s">
        <v>47</v>
      </c>
      <c r="B11" s="18">
        <f>-B6*Assumptions!B10</f>
        <v>-445174626.56358147</v>
      </c>
      <c r="C11" s="18">
        <f>-C6*Assumptions!B10</f>
        <v>-544845442.5895379</v>
      </c>
      <c r="D11" s="18">
        <f>-D6*Assumptions!B10</f>
        <v>-666831707.3731319</v>
      </c>
      <c r="E11" s="18">
        <f>-E6*Assumptions!B10</f>
        <v>-816129660.2661619</v>
      </c>
      <c r="F11" s="18">
        <f>-F6*Assumptions!B10</f>
        <v>-998854156.1558598</v>
      </c>
    </row>
    <row r="12" spans="1:6" x14ac:dyDescent="0.25">
      <c r="A12" t="s">
        <v>48</v>
      </c>
      <c r="B12" s="18">
        <f>-(B6-Assumptions!B29)*Assumptions!B11</f>
        <v>-927241848.4897997</v>
      </c>
      <c r="C12" s="18">
        <f>-(C6-B6)*Assumptions!B11</f>
        <v>-1134843419.1493866</v>
      </c>
      <c r="D12" s="18">
        <f>-(D6-C6)*Assumptions!B11</f>
        <v>-1388925217.3898594</v>
      </c>
      <c r="E12" s="18">
        <f>-(E6-D6)*Assumptions!B11</f>
        <v>-1699893771.201865</v>
      </c>
      <c r="F12" s="18">
        <f>-(F6-E6)*Assumptions!B11</f>
        <v>-2080485541.7639084</v>
      </c>
    </row>
    <row r="13" spans="1:6" x14ac:dyDescent="0.25">
      <c r="A13" s="19" t="s">
        <v>49</v>
      </c>
      <c r="B13" s="20">
        <f>B9+B10+B11+B12</f>
        <v>158864246.33293343</v>
      </c>
      <c r="C13" s="20">
        <f>C9+C10+C11+C12</f>
        <v>194432601.1414268</v>
      </c>
      <c r="D13" s="20">
        <f>D9+D10+D11+D12</f>
        <v>237964408.35022712</v>
      </c>
      <c r="E13" s="20">
        <f>E9+E10+E11+E12</f>
        <v>291242617.2824986</v>
      </c>
      <c r="F13" s="20">
        <f>F9+F10+F11+F12</f>
        <v>356449364.46429634</v>
      </c>
    </row>
    <row r="14" spans="1:6" x14ac:dyDescent="0.25">
      <c r="A14" t="s">
        <v>50</v>
      </c>
      <c r="B14" s="21">
        <f>1/(1+Assumptions!$B$26)^(1-0.5*Assumptions!$B$32)</f>
        <v>0.9514737535766066</v>
      </c>
      <c r="C14" s="21">
        <f>1/(1+Assumptions!$B$26)^(2-0.5*Assumptions!$B$32)</f>
        <v>0.8613713810659538</v>
      </c>
      <c r="D14" s="21">
        <f>1/(1+Assumptions!$B$26)^(3-0.5*Assumptions!$B$32)</f>
        <v>0.7798014956591556</v>
      </c>
      <c r="E14" s="21">
        <f>1/(1+Assumptions!$B$26)^(4-0.5*Assumptions!$B$32)</f>
        <v>0.7059560904841526</v>
      </c>
      <c r="F14" s="21">
        <f>1/(1+Assumptions!$B$26)^(5-0.5*Assumptions!$B$32)</f>
        <v>0.639103675058228</v>
      </c>
    </row>
    <row r="15" spans="1:6" x14ac:dyDescent="0.25">
      <c r="A15" s="19" t="s">
        <v>51</v>
      </c>
      <c r="B15" s="20">
        <f>B13*B14</f>
        <v>151155160.76751482</v>
      </c>
      <c r="C15" s="20">
        <f>C13*C14</f>
        <v>167478678.16943654</v>
      </c>
      <c r="D15" s="20">
        <f>D13*D14</f>
        <v>185565001.54515317</v>
      </c>
      <c r="E15" s="20">
        <f>E13*E14</f>
        <v>205604499.47912502</v>
      </c>
      <c r="F15" s="20">
        <f>F13*F14</f>
        <v>227808098.8013015</v>
      </c>
    </row>
    <row r="17" spans="1:2" x14ac:dyDescent="0.25">
      <c r="A17" s="22" t="s">
        <v>52</v>
      </c>
      <c r="B17" s="23">
        <f>SUM(B15:F15)</f>
        <v>937611438.762531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356449364.46429634</v>
      </c>
    </row>
    <row r="5" spans="1:2" x14ac:dyDescent="0.25">
      <c r="A5" t="s">
        <v>56</v>
      </c>
      <c r="B5" s="18">
        <f>IF(Assumptions!$B$33=0,B4,B4-Forecast!F11-Forecast!F10-Forecast!F12)</f>
        <v>2436934906.2282047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0.23899797448843935</v>
      </c>
    </row>
    <row r="7" spans="1:2" x14ac:dyDescent="0.25">
      <c r="A7" t="s">
        <v>58</v>
      </c>
      <c r="B7" s="18">
        <f>-MAX(Forecast!F9,0)*B6</f>
        <v>-582422506.5487158</v>
      </c>
    </row>
    <row r="8" spans="1:2" x14ac:dyDescent="0.25">
      <c r="A8" t="s">
        <v>59</v>
      </c>
      <c r="B8" s="18">
        <f>IF(OR(Assumptions!$B$33=0,Assumptions!B12&lt;=0),B5,MAX(B5+B7,0))</f>
        <v>1854512399.679489</v>
      </c>
    </row>
    <row r="9" spans="1:2" x14ac:dyDescent="0.25">
      <c r="A9" t="s">
        <v>60</v>
      </c>
      <c r="B9" s="18">
        <f>B8*(1+Assumptions!B12)/(Assumptions!B26-Assumptions!B12)</f>
        <v>23879322768.49734</v>
      </c>
    </row>
    <row r="10" spans="1:2" x14ac:dyDescent="0.25">
      <c r="A10" t="s">
        <v>61</v>
      </c>
      <c r="B10" s="18">
        <f>B9/(1+Assumptions!B26)^(5-0.5*Assumptions!B32)</f>
        <v>15261362939.24827</v>
      </c>
    </row>
    <row r="11" spans="1:2" x14ac:dyDescent="0.25">
      <c r="A11" t="s">
        <v>62</v>
      </c>
      <c r="B11" s="18">
        <f>Forecast!B17+B10</f>
        <v>16198974378.010801</v>
      </c>
    </row>
    <row r="12" spans="1:2" x14ac:dyDescent="0.25">
      <c r="A12" t="s">
        <v>63</v>
      </c>
      <c r="B12" s="18">
        <f>-Assumptions!B30</f>
        <v>-12774282000</v>
      </c>
    </row>
    <row r="13" spans="1:2" x14ac:dyDescent="0.25">
      <c r="A13" t="s">
        <v>64</v>
      </c>
      <c r="B13" s="18">
        <f>B11+B12</f>
        <v>3424692378.0108013</v>
      </c>
    </row>
    <row r="14" spans="1:2" x14ac:dyDescent="0.25">
      <c r="A14" s="19" t="s">
        <v>65</v>
      </c>
      <c r="B14" s="24">
        <f>B13/Assumptions!B31</f>
        <v>15.755712795129806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3816926071.8036714</v>
      </c>
    </row>
    <row r="18" spans="1:2" x14ac:dyDescent="0.25">
      <c r="A18" t="s">
        <v>60</v>
      </c>
      <c r="B18" s="18">
        <f>B17*Assumptions!B13</f>
        <v>76338521436.07343</v>
      </c>
    </row>
    <row r="19" spans="1:2" x14ac:dyDescent="0.25">
      <c r="A19" t="s">
        <v>61</v>
      </c>
      <c r="B19" s="18">
        <f>B18/(1+Assumptions!B26)^(5-0.5*Assumptions!B32)</f>
        <v>48788229598.30584</v>
      </c>
    </row>
    <row r="20" spans="1:2" x14ac:dyDescent="0.25">
      <c r="A20" t="s">
        <v>62</v>
      </c>
      <c r="B20" s="18">
        <f>Forecast!B17+B19</f>
        <v>49725841037.06837</v>
      </c>
    </row>
    <row r="21" spans="1:2" x14ac:dyDescent="0.25">
      <c r="A21" t="s">
        <v>63</v>
      </c>
      <c r="B21" s="18">
        <f>-Assumptions!B30</f>
        <v>-12774282000</v>
      </c>
    </row>
    <row r="22" spans="1:2" x14ac:dyDescent="0.25">
      <c r="A22" t="s">
        <v>64</v>
      </c>
      <c r="B22" s="18">
        <f>B20+B21</f>
        <v>36951559037.06837</v>
      </c>
    </row>
    <row r="23" spans="1:2" x14ac:dyDescent="0.25">
      <c r="A23" s="19" t="s">
        <v>65</v>
      </c>
      <c r="B23" s="25">
        <f>B22/Assumptions!B31</f>
        <v>170.00013059815217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123.8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15.755712795129806</v>
      </c>
    </row>
    <row r="29" spans="1:2" x14ac:dyDescent="0.25">
      <c r="A29" s="19" t="s">
        <v>73</v>
      </c>
      <c r="B29" s="12">
        <f>B28/B26-1</f>
        <v>-0.8727325299262536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0.084603</v>
      </c>
      <c r="B5" s="31">
        <v>39.09412328503252</v>
      </c>
      <c r="C5" s="31">
        <v>39.55387785214804</v>
      </c>
      <c r="D5" s="31">
        <v>40.013632419263544</v>
      </c>
      <c r="E5" s="31">
        <v>40.47338698637908</v>
      </c>
      <c r="F5" s="31">
        <v>40.933141553494565</v>
      </c>
    </row>
    <row r="6" spans="1:6" x14ac:dyDescent="0.25">
      <c r="A6" s="30">
        <v>0.094603</v>
      </c>
      <c r="B6" s="31">
        <v>25.739584037412538</v>
      </c>
      <c r="C6" s="31">
        <v>26.13410552260853</v>
      </c>
      <c r="D6" s="31">
        <v>26.528627007804502</v>
      </c>
      <c r="E6" s="31">
        <v>26.923148493000493</v>
      </c>
      <c r="F6" s="31">
        <v>27.31766997819643</v>
      </c>
    </row>
    <row r="7" spans="1:6" x14ac:dyDescent="0.25">
      <c r="A7" s="30">
        <v>0.104603</v>
      </c>
      <c r="B7" s="31">
        <v>15.07110057899803</v>
      </c>
      <c r="C7" s="31">
        <v>15.41359878303801</v>
      </c>
      <c r="D7" s="32">
        <v>15.756096987077962</v>
      </c>
      <c r="E7" s="31">
        <v>16.09859519111795</v>
      </c>
      <c r="F7" s="31">
        <v>16.441093395157903</v>
      </c>
    </row>
    <row r="8" spans="1:6" x14ac:dyDescent="0.25">
      <c r="A8" s="30">
        <v>0.114603</v>
      </c>
      <c r="B8" s="31">
        <v>6.378635941720704</v>
      </c>
      <c r="C8" s="31">
        <v>6.678824061514385</v>
      </c>
      <c r="D8" s="31">
        <v>6.979012181308058</v>
      </c>
      <c r="E8" s="31">
        <v>7.279200301101748</v>
      </c>
      <c r="F8" s="31">
        <v>7.5793884208954205</v>
      </c>
    </row>
    <row r="9" spans="1:6" x14ac:dyDescent="0.25">
      <c r="A9" s="30">
        <v>0.124603</v>
      </c>
      <c r="B9" s="31">
        <v>-0.8194965408902004</v>
      </c>
      <c r="C9" s="31">
        <v>-0.5542771012601062</v>
      </c>
      <c r="D9" s="31">
        <v>-0.2890576616300384</v>
      </c>
      <c r="E9" s="31">
        <v>-0.023838221999979245</v>
      </c>
      <c r="F9" s="31">
        <v>0.24138121763009743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5601482000</v>
      </c>
      <c r="C5" s="18">
        <v>3884781000</v>
      </c>
      <c r="D5" s="18">
        <v>3631884000</v>
      </c>
      <c r="E5" s="18">
        <v>3055443000</v>
      </c>
      <c r="F5" s="8" t="s">
        <v>84</v>
      </c>
    </row>
    <row r="6" spans="1:6" x14ac:dyDescent="0.25">
      <c r="A6" t="s">
        <v>44</v>
      </c>
      <c r="B6" s="18">
        <v>892716000</v>
      </c>
      <c r="C6" s="18">
        <v>946090000</v>
      </c>
      <c r="D6" s="18">
        <v>834026000</v>
      </c>
      <c r="E6" s="18">
        <v>306358000</v>
      </c>
      <c r="F6" s="8" t="s">
        <v>85</v>
      </c>
    </row>
    <row r="7" spans="1:6" x14ac:dyDescent="0.25">
      <c r="A7" t="s">
        <v>86</v>
      </c>
      <c r="B7" s="18">
        <v>243149000</v>
      </c>
      <c r="C7" s="18">
        <v>158578000</v>
      </c>
      <c r="D7" s="18">
        <v>231712000</v>
      </c>
      <c r="E7" s="18">
        <v>341341000</v>
      </c>
      <c r="F7" s="8" t="s">
        <v>87</v>
      </c>
    </row>
    <row r="8" spans="1:6" x14ac:dyDescent="0.25">
      <c r="A8" t="s">
        <v>88</v>
      </c>
      <c r="B8" s="18">
        <v>72178000</v>
      </c>
      <c r="C8" s="18">
        <v>91509000</v>
      </c>
      <c r="D8" s="18">
        <v>67183000</v>
      </c>
      <c r="E8" s="18">
        <v>35796000</v>
      </c>
      <c r="F8" s="8" t="s">
        <v>89</v>
      </c>
    </row>
    <row r="9" spans="1:6" x14ac:dyDescent="0.25">
      <c r="A9" t="s">
        <v>90</v>
      </c>
      <c r="B9" s="18">
        <v>-273241000</v>
      </c>
      <c r="C9" s="18">
        <v>202991000</v>
      </c>
      <c r="D9" s="18">
        <v>426194000</v>
      </c>
      <c r="E9" s="18">
        <v>194632000</v>
      </c>
      <c r="F9" s="8" t="s">
        <v>91</v>
      </c>
    </row>
    <row r="10" spans="1:6" x14ac:dyDescent="0.25">
      <c r="A10" t="s">
        <v>92</v>
      </c>
      <c r="B10" s="18">
        <v>14222266000</v>
      </c>
      <c r="C10" s="18">
        <v>13147967000</v>
      </c>
      <c r="D10" s="18">
        <v>15755950000</v>
      </c>
      <c r="E10" s="18">
        <v>13334236000</v>
      </c>
      <c r="F10" s="8" t="s">
        <v>93</v>
      </c>
    </row>
    <row r="11" spans="1:6" x14ac:dyDescent="0.25">
      <c r="A11" t="s">
        <v>94</v>
      </c>
      <c r="B11" s="18">
        <v>1447984000</v>
      </c>
      <c r="C11" s="18">
        <v>2735465000</v>
      </c>
      <c r="D11" s="18">
        <v>1497785000</v>
      </c>
      <c r="E11" s="18">
        <v>1114628000</v>
      </c>
      <c r="F11" s="8" t="s">
        <v>95</v>
      </c>
    </row>
    <row r="12" spans="1:6" x14ac:dyDescent="0.25">
      <c r="A12" t="s">
        <v>32</v>
      </c>
      <c r="B12" s="34">
        <v>217361945</v>
      </c>
      <c r="C12" s="34">
        <v>198054451</v>
      </c>
      <c r="D12" s="34">
        <v>195773426</v>
      </c>
      <c r="E12" s="34">
        <v>175510798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