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<sst xmlns="http://schemas.openxmlformats.org/spreadsheetml/2006/main" count="122" uniqueCount="109">
  <si>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Ares Management Corporation (ARES)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</si>
  <si>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</si>
  <si>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</si>
  <si>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</si>
  <si>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</si>
  <si>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</si>
  <si>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</si>
  <si>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</si>
  <si>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</si>
  <si>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</si>
  <si>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</si>
  <si>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</si>
  <si>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</si>
  <si>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</si>
  <si>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</si>
  <si>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</si>
  <si>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</si>
  <si>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</si>
  <si>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</si>
  <si>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</si>
  <si>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</si>
  <si>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</si>
  <si>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</si>
  <si>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</si>
  <si>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CCC rating at 1.2x interest cover, capped at 200bp because one year's cover is too noisy to charge more. Book interest / average debt was lower, at 5.6%.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</si>
  <si>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</si>
  <si>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</si>
  <si>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</si>
  <si>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</si>
  <si>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</si>
  <si>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</si>
  <si>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</si>
  <si>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</si>
  <si>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</si>
  <si>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</si>
  <si>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</si>
  <si>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</si>
  <si>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</si>
  <si>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</si>
  <si>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</si>
  <si>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</si>
  <si>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</si>
  <si>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</si>
  <si>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</si>
  <si>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</si>
  <si>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</si>
  <si>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</si>
  <si>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</si>
  <si>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</si>
  <si>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</si>
  <si>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</si>
  <si>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</si>
  <si>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</si>
  <si>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</si>
  <si>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</si>
  <si>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</si>
  <si>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</si>
  <si>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</si>
  <si>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</si>
  <si>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</si>
  <si>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</si>
  <si>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</si>
  <si>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</si>
  <si>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</si>
  <si>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</si>
  <si>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</si>
  <si>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</si>
  <si>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</si>
  <si>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</si>
  <si>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</si>
  <si>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</si>
  <si>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</si>
  <si>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</si>
  <si>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</si>
  <si>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</si>
  <si>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</si>
  <si>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</si>
  <si>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</si>
  <si>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</si>
  <si>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</si>
  <si>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</si>
  <si>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</si>
  <si>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</si>
  <si>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</si>
  <si>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</si>
  <si>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</si>
  <si>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</si>
  <si>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</si>
  <si>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</si>
  <si>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</si>
  <si>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</si>
  <si>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</si>
  <si>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</si>
  <si>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</si>
  <si>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</si>
  <si>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</si>
  <si>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</si>
  <si>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</si>
  <si>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</si>
  <si>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</si>
  <si>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</si>
  <si>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</si>
  <si>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</si>
  <si>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</si>
  <si>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</si>
  <si>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</si>
  <si>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1.67% of revenue against depreciation and amortisation of 6.49%. A business cannot depreciate more than it invests indefinitely. Capex has been set to 6.49%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</si>
  <si>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50.1x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</si>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</sst>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-0.12250121128658453</v>
      </c>
    </row>
    <row r="7" spans="1:2" x14ac:dyDescent="0.25">
      <c r="A7" t="s">
        <v>4</v>
      </c>
      <c r="B7" s="5">
        <v>0.18320382200493748</v>
      </c>
    </row>
    <row r="8" spans="1:2" x14ac:dyDescent="0.25">
      <c r="A8" t="s">
        <v>5</v>
      </c>
      <c r="B8" s="5">
        <v>0.13524743896821106</v>
      </c>
    </row>
    <row r="9" spans="1:2" x14ac:dyDescent="0.25">
      <c r="A9" t="s">
        <v>6</v>
      </c>
      <c r="B9" s="5">
        <v>0.06493585135892602</v>
      </c>
    </row>
    <row r="10" spans="1:3" x14ac:dyDescent="0.25">
      <c r="A10" t="s">
        <v>7</v>
      </c>
      <c r="B10" s="5">
        <v>0.06493585135892602</v>
      </c>
      <c r="C10" s="6" t="s">
        <v>8</v>
      </c>
    </row>
    <row r="11" spans="1:2" x14ac:dyDescent="0.25">
      <c r="A11" t="s">
        <v>9</v>
      </c>
      <c r="B11" s="5">
        <v>-0.11237189471482917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0.09439571655322034</v>
      </c>
      <c r="C14" s="6" t="s">
        <v>13</v>
      </c>
    </row>
    <row r="15" spans="1:3" x14ac:dyDescent="0.25">
      <c r="A15" t="s">
        <v>14</v>
      </c>
      <c r="B15" s="5">
        <v>0.06493585135892602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1.33969</v>
      </c>
      <c r="C19" s="6" t="s">
        <v>21</v>
      </c>
    </row>
    <row r="20" spans="1:2" x14ac:dyDescent="0.25">
      <c r="A20" t="s">
        <v>22</v>
      </c>
      <c r="B20" s="9">
        <f>B17+B19*B18</f>
        <v>0.10560888700000001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44112928768</v>
      </c>
    </row>
    <row r="23" spans="1:2" x14ac:dyDescent="0.25">
      <c r="A23" t="s">
        <v>26</v>
      </c>
      <c r="B23" s="10">
        <v>14222266000</v>
      </c>
    </row>
    <row r="24" spans="1:2" x14ac:dyDescent="0.25">
      <c r="A24" t="s">
        <v>27</v>
      </c>
      <c r="B24" s="9">
        <f>B22/(B22+B23)</f>
        <v>0.7561975055271148</v>
      </c>
    </row>
    <row r="25" spans="1:2" x14ac:dyDescent="0.25">
      <c r="A25" t="s">
        <v>28</v>
      </c>
      <c r="B25" s="9">
        <f>1-B24</f>
        <v>0.24380249447288516</v>
      </c>
    </row>
    <row r="26" spans="1:2" x14ac:dyDescent="0.25">
      <c r="A26" t="s">
        <v>29</v>
      </c>
      <c r="B26" s="11">
        <f>B24*B20+B25*B21*(1-B8)</f>
        <v>0.09439571655322034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5601482000</v>
      </c>
      <c r="C29" s="6" t="s">
        <v>32</v>
      </c>
    </row>
    <row r="30" spans="1:2" x14ac:dyDescent="0.25">
      <c r="A30" t="s">
        <v>33</v>
      </c>
      <c r="B30" s="10">
        <v>12774282000</v>
      </c>
    </row>
    <row r="31" spans="1:2" x14ac:dyDescent="0.25">
      <c r="A31" t="s">
        <v>34</v>
      </c>
      <c r="B31" s="12">
        <v>217361945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-0.12250121128658453</v>
      </c>
      <c r="C5" s="5">
        <v>0.18343997134966705</v>
      </c>
      <c r="D5" s="5">
        <v>0.16363497493095866</v>
      </c>
      <c r="E5" s="5">
        <v>0.1438299785122503</v>
      </c>
      <c r="F5" s="5">
        <v>0.1240249820935419</v>
      </c>
      <c r="G5" s="5">
        <v>0.10421998567483352</v>
      </c>
      <c r="H5" s="5">
        <v>0.08441498925612514</v>
      </c>
      <c r="I5" s="5">
        <v>0.06460999283741675</v>
      </c>
      <c r="J5" s="5">
        <v>0.04480499641870839</v>
      </c>
      <c r="K5" s="5">
        <v>0.024999999999999994</v>
      </c>
    </row>
    <row r="6" spans="1:11" x14ac:dyDescent="0.25">
      <c r="A6" t="s">
        <v>50</v>
      </c>
      <c r="B6" s="18">
        <f>Assumptions!B29*(1+B5)</f>
        <v>4915293670</v>
      </c>
      <c r="C6" s="18">
        <f>B6*(1+C5)</f>
        <v>5816955000</v>
      </c>
      <c r="D6" s="18">
        <f>C6*(1+D5)</f>
        <v>6768812285.599515</v>
      </c>
      <c r="E6" s="18">
        <f>D6*(1+E5)</f>
        <v>7742370411.190749</v>
      </c>
      <c r="F6" s="18">
        <f>E6*(1+F5)</f>
        <v>8702617762.800251</v>
      </c>
      <c r="G6" s="18">
        <f>F6*(1+G5)</f>
        <v>9609604461.372845</v>
      </c>
      <c r="H6" s="18">
        <f>G6*(1+H5)</f>
        <v>10420799118.735247</v>
      </c>
      <c r="I6" s="18">
        <f>H6*(1+I5)</f>
        <v>11094086875.156889</v>
      </c>
      <c r="J6" s="18">
        <f>I6*(1+J5)</f>
        <v>11591157397.867134</v>
      </c>
      <c r="K6" s="18">
        <f>J6*(1+K5)</f>
        <v>11880936332.813812</v>
      </c>
    </row>
    <row r="7" spans="1:11" x14ac:dyDescent="0.25">
      <c r="A7" t="s">
        <v>4</v>
      </c>
      <c r="B7" s="9">
        <f>Assumptions!B7</f>
        <v>0.18320382200493748</v>
      </c>
      <c r="C7" s="9">
        <f>Assumptions!B7</f>
        <v>0.18320382200493748</v>
      </c>
      <c r="D7" s="9">
        <f>Assumptions!B7</f>
        <v>0.18320382200493748</v>
      </c>
      <c r="E7" s="9">
        <f>Assumptions!B7</f>
        <v>0.18320382200493748</v>
      </c>
      <c r="F7" s="9">
        <f>Assumptions!B7</f>
        <v>0.18320382200493748</v>
      </c>
      <c r="G7" s="9">
        <f>Assumptions!B7</f>
        <v>0.18320382200493748</v>
      </c>
      <c r="H7" s="9">
        <f>Assumptions!B7</f>
        <v>0.18320382200493748</v>
      </c>
      <c r="I7" s="9">
        <f>Assumptions!B7</f>
        <v>0.18320382200493748</v>
      </c>
      <c r="J7" s="9">
        <f>Assumptions!B7</f>
        <v>0.18320382200493748</v>
      </c>
      <c r="K7" s="9">
        <f>Assumptions!B7</f>
        <v>0.18320382200493748</v>
      </c>
    </row>
    <row r="8" spans="1:11" x14ac:dyDescent="0.25">
      <c r="A8" t="s">
        <v>51</v>
      </c>
      <c r="B8" s="18">
        <f>B6*B7</f>
        <v>900500586.6206759</v>
      </c>
      <c r="C8" s="18">
        <f>C6*C7</f>
        <v>1065688388.4307312</v>
      </c>
      <c r="D8" s="18">
        <f>D6*D7</f>
        <v>1240072281.1558075</v>
      </c>
      <c r="E8" s="18">
        <f>E6*E7</f>
        <v>1418431850.7080846</v>
      </c>
      <c r="F8" s="18">
        <f>F6*F7</f>
        <v>1594352835.5930645</v>
      </c>
      <c r="G8" s="18">
        <f>G6*G7</f>
        <v>1760516265.279204</v>
      </c>
      <c r="H8" s="18">
        <f>H6*H7</f>
        <v>1909130226.8979814</v>
      </c>
      <c r="I8" s="18">
        <f>I6*I7</f>
        <v>2032479117.1835558</v>
      </c>
      <c r="J8" s="18">
        <f>J6*J7</f>
        <v>2123544336.7500648</v>
      </c>
      <c r="K8" s="18">
        <f>K6*K7</f>
        <v>2176632945.1688166</v>
      </c>
    </row>
    <row r="9" spans="1:11" x14ac:dyDescent="0.25">
      <c r="A9" t="s">
        <v>52</v>
      </c>
      <c r="B9" s="18">
        <f>B8*(1-Assumptions!B8)</f>
        <v>778710188.4908578</v>
      </c>
      <c r="C9" s="18">
        <f>C8*(1-Assumptions!B8)</f>
        <v>921556763.1573147</v>
      </c>
      <c r="D9" s="18">
        <f>D8*(1-Assumptions!B8)</f>
        <v>1072355680.9940172</v>
      </c>
      <c r="E9" s="18">
        <f>E8*(1-Assumptions!B8)</f>
        <v>1226592575.5488763</v>
      </c>
      <c r="F9" s="18">
        <f>F8*(1-Assumptions!B8)</f>
        <v>1378720697.7673974</v>
      </c>
      <c r="G9" s="18">
        <f>G8*(1-Assumptions!B8)</f>
        <v>1522410949.1383119</v>
      </c>
      <c r="H9" s="18">
        <f>H8*(1-Assumptions!B8)</f>
        <v>1650925253.0532298</v>
      </c>
      <c r="I9" s="18">
        <f>I8*(1-Assumptions!B8)</f>
        <v>1757591521.8281095</v>
      </c>
      <c r="J9" s="18">
        <f>J8*(1-Assumptions!B8)</f>
        <v>1836340403.6691704</v>
      </c>
      <c r="K9" s="18">
        <f>K8*(1-Assumptions!B8)</f>
        <v>1882248913.7608998</v>
      </c>
    </row>
    <row r="10" spans="1:11" x14ac:dyDescent="0.25">
      <c r="A10" t="s">
        <v>53</v>
      </c>
      <c r="B10" s="18">
        <f>B6*Assumptions!B9</f>
        <v>319178779.14058995</v>
      </c>
      <c r="C10" s="18">
        <f>C6*Assumptions!B9</f>
        <v>377728925.2415615</v>
      </c>
      <c r="D10" s="18">
        <f>D6*Assumptions!B9</f>
        <v>439538588.45416236</v>
      </c>
      <c r="E10" s="18">
        <f>E6*Assumptions!B9</f>
        <v>502757414.1868294</v>
      </c>
      <c r="F10" s="18">
        <f>F6*Assumptions!B9</f>
        <v>565111893.4787464</v>
      </c>
      <c r="G10" s="18">
        <f>G6*Assumptions!B9</f>
        <v>624007846.9217794</v>
      </c>
      <c r="H10" s="18">
        <f>H6*Assumptions!B9</f>
        <v>676683462.6154191</v>
      </c>
      <c r="I10" s="18">
        <f>I6*Assumptions!B9</f>
        <v>720403976.2881998</v>
      </c>
      <c r="J10" s="18">
        <f>J6*Assumptions!B9</f>
        <v>752681673.8658159</v>
      </c>
      <c r="K10" s="18">
        <f>K6*Assumptions!B9</f>
        <v>771498715.7124612</v>
      </c>
    </row>
    <row r="11" spans="1:11" x14ac:dyDescent="0.25">
      <c r="A11" t="s">
        <v>54</v>
      </c>
      <c r="B11" s="18">
        <f>-B6*B19</f>
        <v>-319178779.14058995</v>
      </c>
      <c r="C11" s="18">
        <f>-C6*C19</f>
        <v>-404847527.55881757</v>
      </c>
      <c r="D11" s="18">
        <f>-D6*D19</f>
        <v>-502650896.7093682</v>
      </c>
      <c r="E11" s="18">
        <f>-E6*E19</f>
        <v>-611042039.4799452</v>
      </c>
      <c r="F11" s="18">
        <f>-F6*F19</f>
        <v>-727398058.8202136</v>
      </c>
      <c r="G11" s="18">
        <f>-G6*G19</f>
        <v>-848007380.8825027</v>
      </c>
      <c r="H11" s="18">
        <f>-H6*H19</f>
        <v>-968173605.2714928</v>
      </c>
      <c r="I11" s="18">
        <f>-I6*I19</f>
        <v>-1082447848.08767</v>
      </c>
      <c r="J11" s="18">
        <f>-J6*J19</f>
        <v>-1184984812.3559427</v>
      </c>
      <c r="K11" s="18">
        <f>-K6*K19</f>
        <v>-1269998272.2838888</v>
      </c>
    </row>
    <row r="12" spans="1:11" x14ac:dyDescent="0.25">
      <c r="A12" t="s">
        <v>55</v>
      </c>
      <c r="B12" s="18">
        <f>-(B6-Assumptions!B29)*Assumptions!B11</f>
        <v>-77108282.77330445</v>
      </c>
      <c r="C12" s="18">
        <f>-(C6-B6)*Assumptions!B11</f>
        <v>101321392.04319283</v>
      </c>
      <c r="D12" s="18">
        <f>-(D6-C6)*Assumptions!B11</f>
        <v>106962006.68093178</v>
      </c>
      <c r="E12" s="18">
        <f>-(E6-D6)*Assumptions!B11</f>
        <v>109400571.18770461</v>
      </c>
      <c r="F12" s="18">
        <f>-(F6-E6)*Assumptions!B11</f>
        <v>107904814.29525648</v>
      </c>
      <c r="G12" s="18">
        <f>-(G6-F6)*Assumptions!B11</f>
        <v>101919813.79975</v>
      </c>
      <c r="H12" s="18">
        <f>-(H6-G6)*Assumptions!B11</f>
        <v>91155480.63035975</v>
      </c>
      <c r="I12" s="18">
        <f>-(I6-H6)*Assumptions!B11</f>
        <v>75658620.87739633</v>
      </c>
      <c r="J12" s="18">
        <f>-(J6-I6)*Assumptions!B11</f>
        <v>55856756.443840764</v>
      </c>
      <c r="K12" s="18">
        <f>-(K6-J6)*Assumptions!B11</f>
        <v>32563007.968403447</v>
      </c>
    </row>
    <row r="13" spans="1:11" x14ac:dyDescent="0.25">
      <c r="A13" s="19" t="s">
        <v>56</v>
      </c>
      <c r="B13" s="20">
        <f>B9+B10+B11+B12</f>
        <v>701601905.7175534</v>
      </c>
      <c r="C13" s="20">
        <f>C9+C10+C11+C12</f>
        <v>995759552.8832514</v>
      </c>
      <c r="D13" s="20">
        <f>D9+D10+D11+D12</f>
        <v>1116205379.4197433</v>
      </c>
      <c r="E13" s="20">
        <f>E9+E10+E11+E12</f>
        <v>1227708521.443465</v>
      </c>
      <c r="F13" s="20">
        <f>F9+F10+F11+F12</f>
        <v>1324339346.7211866</v>
      </c>
      <c r="G13" s="20">
        <f>G9+G10+G11+G12</f>
        <v>1400331228.9773386</v>
      </c>
      <c r="H13" s="20">
        <f>H9+H10+H11+H12</f>
        <v>1450590591.0275154</v>
      </c>
      <c r="I13" s="20">
        <f>I9+I10+I11+I12</f>
        <v>1471206270.9060354</v>
      </c>
      <c r="J13" s="20">
        <f>J9+J10+J11+J12</f>
        <v>1459894021.6228845</v>
      </c>
      <c r="K13" s="20">
        <f>K9+K10+K11+K12</f>
        <v>1416312365.1578755</v>
      </c>
    </row>
    <row r="14" spans="1:11" x14ac:dyDescent="0.25">
      <c r="A14" t="s">
        <v>57</v>
      </c>
      <c r="B14" s="21">
        <f>1/(1+Assumptions!$B$26)^(1-0.5*Assumptions!$B$32)</f>
        <v>0.9559007618117552</v>
      </c>
      <c r="C14" s="21">
        <f>1/(1+Assumptions!$B$26)^(2-0.5*Assumptions!$B$32)</f>
        <v>0.8734507521852767</v>
      </c>
      <c r="D14" s="21">
        <f>1/(1+Assumptions!$B$26)^(3-0.5*Assumptions!$B$32)</f>
        <v>0.7981123637217753</v>
      </c>
      <c r="E14" s="21">
        <f>1/(1+Assumptions!$B$26)^(4-0.5*Assumptions!$B$32)</f>
        <v>0.7292721925442252</v>
      </c>
      <c r="F14" s="21">
        <f>1/(1+Assumptions!$B$26)^(5-0.5*Assumptions!$B$32)</f>
        <v>0.6663697431501786</v>
      </c>
      <c r="G14" s="21">
        <f>1/(1+Assumptions!$B$26)^(6-0.5*Assumptions!$B$32)</f>
        <v>0.6088928648669224</v>
      </c>
      <c r="H14" s="21">
        <f>1/(1+Assumptions!$B$26)^(7-0.5*Assumptions!$B$32)</f>
        <v>0.5563735819294136</v>
      </c>
      <c r="I14" s="21">
        <f>1/(1+Assumptions!$B$26)^(8-0.5*Assumptions!$B$32)</f>
        <v>0.5083842832295635</v>
      </c>
      <c r="J14" s="21">
        <f>1/(1+Assumptions!$B$26)^(9-0.5*Assumptions!$B$32)</f>
        <v>0.46453424071387156</v>
      </c>
      <c r="K14" s="21">
        <f>1/(1+Assumptions!$B$26)^(10-0.5*Assumptions!$B$32)</f>
        <v>0.42446642808226054</v>
      </c>
    </row>
    <row r="15" spans="1:11" x14ac:dyDescent="0.25">
      <c r="A15" s="19" t="s">
        <v>58</v>
      </c>
      <c r="B15" s="20">
        <f>B13*B14</f>
        <v>670661796.1639885</v>
      </c>
      <c r="C15" s="20">
        <f>C13*C14</f>
        <v>869746930.4615507</v>
      </c>
      <c r="D15" s="20">
        <f>D13*D14</f>
        <v>890857313.7676524</v>
      </c>
      <c r="E15" s="20">
        <f>E13*E14</f>
        <v>895333685.2383046</v>
      </c>
      <c r="F15" s="20">
        <f>F13*F14</f>
        <v>882499670.3182725</v>
      </c>
      <c r="G15" s="20">
        <f>G13*G14</f>
        <v>852651693.77463</v>
      </c>
      <c r="H15" s="20">
        <f>H13*H14</f>
        <v>807070283.0430838</v>
      </c>
      <c r="I15" s="20">
        <f>I13*I14</f>
        <v>747938145.5174038</v>
      </c>
      <c r="J15" s="20">
        <f>J13*J14</f>
        <v>678170760.8573071</v>
      </c>
      <c r="K15" s="20">
        <f>K13*K14</f>
        <v>601177050.6873018</v>
      </c>
    </row>
    <row r="17" spans="1:2" x14ac:dyDescent="0.25">
      <c r="A17" s="22" t="s">
        <v>59</v>
      </c>
      <c r="B17" s="23">
        <f>SUM(B15:K15)</f>
        <v>7896107329.829495</v>
      </c>
    </row>
    <row r="19" spans="1:11" x14ac:dyDescent="0.25">
      <c r="A19" t="s">
        <v>7</v>
      </c>
      <c r="B19" s="9">
        <f>Assumptions!$B$10+($B$20-Assumptions!$B$10)*0/9</f>
        <v>0.06493585135892602</v>
      </c>
      <c r="C19" s="9">
        <f>Assumptions!$B$10+($B$20-Assumptions!$B$10)*1/9</f>
        <v>0.06959784415709208</v>
      </c>
      <c r="D19" s="9">
        <f>Assumptions!$B$10+($B$20-Assumptions!$B$10)*2/9</f>
        <v>0.07425983695525815</v>
      </c>
      <c r="E19" s="9">
        <f>Assumptions!$B$10+($B$20-Assumptions!$B$10)*3/9</f>
        <v>0.0789218297534242</v>
      </c>
      <c r="F19" s="9">
        <f>Assumptions!$B$10+($B$20-Assumptions!$B$10)*4/9</f>
        <v>0.08358382255159026</v>
      </c>
      <c r="G19" s="9">
        <f>Assumptions!$B$10+($B$20-Assumptions!$B$10)*5/9</f>
        <v>0.08824581534975633</v>
      </c>
      <c r="H19" s="9">
        <f>Assumptions!$B$10+($B$20-Assumptions!$B$10)*6/9</f>
        <v>0.09290780814792238</v>
      </c>
      <c r="I19" s="9">
        <f>Assumptions!$B$10+($B$20-Assumptions!$B$10)*7/9</f>
        <v>0.09756980094608844</v>
      </c>
      <c r="J19" s="9">
        <f>Assumptions!$B$10+($B$20-Assumptions!$B$10)*8/9</f>
        <v>0.1022317937442545</v>
      </c>
      <c r="K19" s="9">
        <f>Assumptions!$B$10+($B$20-Assumptions!$B$10)*9/9</f>
        <v>0.10689378654242057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0.10689378654242057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1416312365.1578755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1882248913.7608998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0.26484252583542806</v>
      </c>
    </row>
    <row r="7" spans="1:2" x14ac:dyDescent="0.25">
      <c r="A7" t="s">
        <v>66</v>
      </c>
      <c r="B7" s="18">
        <f>-MAX(B5,0)*B6</f>
        <v>-498499556.5714275</v>
      </c>
    </row>
    <row r="8" spans="1:2" x14ac:dyDescent="0.25">
      <c r="A8" t="s">
        <v>67</v>
      </c>
      <c r="B8" s="18">
        <f>IF(OR(Assumptions!$B$33=0,Assumptions!B12&lt;=0),B5,MAX(B5+B7,0))</f>
        <v>1383749357.1894722</v>
      </c>
    </row>
    <row r="9" spans="1:2" x14ac:dyDescent="0.25">
      <c r="A9" t="s">
        <v>68</v>
      </c>
      <c r="B9" s="18">
        <f>B8*(1+Assumptions!B12)/(Assumptions!B26-Assumptions!B12)</f>
        <v>20438481819.428524</v>
      </c>
    </row>
    <row r="10" spans="1:2" x14ac:dyDescent="0.25">
      <c r="A10" t="s">
        <v>69</v>
      </c>
      <c r="B10" s="18">
        <f>B9/(1+Assumptions!B26)^(10-0.5*Assumptions!B32)</f>
        <v>8675449373.317047</v>
      </c>
    </row>
    <row r="11" spans="1:2" x14ac:dyDescent="0.25">
      <c r="A11" t="s">
        <v>70</v>
      </c>
      <c r="B11" s="18">
        <f>Forecast!B17+B10</f>
        <v>16571556703.146542</v>
      </c>
    </row>
    <row r="12" spans="1:2" x14ac:dyDescent="0.25">
      <c r="A12" t="s">
        <v>71</v>
      </c>
      <c r="B12" s="18">
        <f>-Assumptions!B30</f>
        <v>-12774282000</v>
      </c>
    </row>
    <row r="13" spans="1:2" x14ac:dyDescent="0.25">
      <c r="A13" t="s">
        <v>72</v>
      </c>
      <c r="B13" s="18">
        <f>B11+B12</f>
        <v>3797274703.1465416</v>
      </c>
    </row>
    <row r="14" spans="1:2" x14ac:dyDescent="0.25">
      <c r="A14" s="19" t="s">
        <v>73</v>
      </c>
      <c r="B14" s="24">
        <f>B13/Assumptions!B31</f>
        <v>17.469822986477883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2948131660.881278</v>
      </c>
    </row>
    <row r="18" spans="1:2" x14ac:dyDescent="0.25">
      <c r="A18" t="s">
        <v>68</v>
      </c>
      <c r="B18" s="18">
        <f>B17*Assumptions!B13</f>
        <v>58962633217.625565</v>
      </c>
    </row>
    <row r="19" spans="1:2" x14ac:dyDescent="0.25">
      <c r="A19" t="s">
        <v>69</v>
      </c>
      <c r="B19" s="18">
        <f>B18/(1+Assumptions!B26)^(10-0.5*Assumptions!B32)</f>
        <v>25027658312.20997</v>
      </c>
    </row>
    <row r="20" spans="1:2" x14ac:dyDescent="0.25">
      <c r="A20" t="s">
        <v>70</v>
      </c>
      <c r="B20" s="18">
        <f>Forecast!B17+B19</f>
        <v>32923765642.039463</v>
      </c>
    </row>
    <row r="21" spans="1:2" x14ac:dyDescent="0.25">
      <c r="A21" t="s">
        <v>71</v>
      </c>
      <c r="B21" s="18">
        <f>-Assumptions!B30</f>
        <v>-12774282000</v>
      </c>
    </row>
    <row r="22" spans="1:2" x14ac:dyDescent="0.25">
      <c r="A22" t="s">
        <v>72</v>
      </c>
      <c r="B22" s="18">
        <f>B20+B21</f>
        <v>20149483642.039463</v>
      </c>
    </row>
    <row r="23" spans="1:2" x14ac:dyDescent="0.25">
      <c r="A23" s="19" t="s">
        <v>73</v>
      </c>
      <c r="B23" s="25">
        <f>B22/Assumptions!B31</f>
        <v>92.70014418595427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132.96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17.469822986477883</v>
      </c>
    </row>
    <row r="29" spans="1:2" x14ac:dyDescent="0.25">
      <c r="A29" s="19" t="s">
        <v>81</v>
      </c>
      <c r="B29" s="11">
        <f>B28/B26-1</f>
        <v>-0.8686084312088005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0.074396</v>
      </c>
      <c r="B5" s="31">
        <v>42.170187754242136</v>
      </c>
      <c r="C5" s="31">
        <v>40.933957281309134</v>
      </c>
      <c r="D5" s="31">
        <v>39.697726808376146</v>
      </c>
      <c r="E5" s="31">
        <v>38.461496335443144</v>
      </c>
      <c r="F5" s="31">
        <v>37.22526586251016</v>
      </c>
    </row>
    <row r="6" spans="1:6" x14ac:dyDescent="0.25">
      <c r="A6" s="30">
        <v>0.084396</v>
      </c>
      <c r="B6" s="31">
        <v>29.3057215536693</v>
      </c>
      <c r="C6" s="31">
        <v>28.27688584670838</v>
      </c>
      <c r="D6" s="31">
        <v>27.248050139747466</v>
      </c>
      <c r="E6" s="31">
        <v>26.21921443278651</v>
      </c>
      <c r="F6" s="31">
        <v>25.190378725825575</v>
      </c>
    </row>
    <row r="7" spans="1:6" x14ac:dyDescent="0.25">
      <c r="A7" s="30">
        <v>0.094396</v>
      </c>
      <c r="B7" s="31">
        <v>19.207894363522122</v>
      </c>
      <c r="C7" s="31">
        <v>18.338735000866443</v>
      </c>
      <c r="D7" s="32">
        <v>17.46957563821075</v>
      </c>
      <c r="E7" s="31">
        <v>16.60041627555505</v>
      </c>
      <c r="F7" s="31">
        <v>15.731256912899356</v>
      </c>
    </row>
    <row r="8" spans="1:6" x14ac:dyDescent="0.25">
      <c r="A8" s="30">
        <v>0.104396</v>
      </c>
      <c r="B8" s="31">
        <v>11.079599646116366</v>
      </c>
      <c r="C8" s="31">
        <v>10.33638550454009</v>
      </c>
      <c r="D8" s="31">
        <v>9.593171362963814</v>
      </c>
      <c r="E8" s="31">
        <v>8.849957221387518</v>
      </c>
      <c r="F8" s="31">
        <v>8.106743079811242</v>
      </c>
    </row>
    <row r="9" spans="1:6" x14ac:dyDescent="0.25">
      <c r="A9" s="30">
        <v>0.114396</v>
      </c>
      <c r="B9" s="31">
        <v>4.4025685445240414</v>
      </c>
      <c r="C9" s="31">
        <v>3.760642344389508</v>
      </c>
      <c r="D9" s="31">
        <v>3.1187161442549742</v>
      </c>
      <c r="E9" s="31">
        <v>2.4767899441204495</v>
      </c>
      <c r="F9" s="31">
        <v>1.834863743985907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5601482000</v>
      </c>
      <c r="C5" s="18">
        <v>3884781000</v>
      </c>
      <c r="D5" s="18">
        <v>3631884000</v>
      </c>
      <c r="E5" s="18">
        <v>3055443000</v>
      </c>
      <c r="F5" s="6" t="s">
        <v>91</v>
      </c>
    </row>
    <row r="6" spans="1:6" x14ac:dyDescent="0.25">
      <c r="A6" t="s">
        <v>51</v>
      </c>
      <c r="B6" s="18">
        <v>892716000</v>
      </c>
      <c r="C6" s="18">
        <v>946090000</v>
      </c>
      <c r="D6" s="18">
        <v>834026000</v>
      </c>
      <c r="E6" s="18">
        <v>306358000</v>
      </c>
      <c r="F6" s="6" t="s">
        <v>92</v>
      </c>
    </row>
    <row r="7" spans="1:6" x14ac:dyDescent="0.25">
      <c r="A7" t="s">
        <v>93</v>
      </c>
      <c r="B7" s="18">
        <v>243149000</v>
      </c>
      <c r="C7" s="18">
        <v>158578000</v>
      </c>
      <c r="D7" s="18">
        <v>231712000</v>
      </c>
      <c r="E7" s="18">
        <v>341341000</v>
      </c>
      <c r="F7" s="6" t="s">
        <v>94</v>
      </c>
    </row>
    <row r="8" spans="1:6" x14ac:dyDescent="0.25">
      <c r="A8" t="s">
        <v>95</v>
      </c>
      <c r="B8" s="18">
        <v>72178000</v>
      </c>
      <c r="C8" s="18">
        <v>91509000</v>
      </c>
      <c r="D8" s="18">
        <v>67183000</v>
      </c>
      <c r="E8" s="18">
        <v>35796000</v>
      </c>
      <c r="F8" s="6" t="s">
        <v>96</v>
      </c>
    </row>
    <row r="9" spans="1:6" x14ac:dyDescent="0.25">
      <c r="A9" t="s">
        <v>97</v>
      </c>
      <c r="B9" s="18">
        <v>-273241000</v>
      </c>
      <c r="C9" s="18">
        <v>202991000</v>
      </c>
      <c r="D9" s="18">
        <v>426194000</v>
      </c>
      <c r="E9" s="18">
        <v>194632000</v>
      </c>
      <c r="F9" s="6" t="s">
        <v>98</v>
      </c>
    </row>
    <row r="10" spans="1:6" x14ac:dyDescent="0.25">
      <c r="A10" t="s">
        <v>99</v>
      </c>
      <c r="B10" s="18">
        <v>14222266000</v>
      </c>
      <c r="C10" s="18">
        <v>13147967000</v>
      </c>
      <c r="D10" s="18">
        <v>15755950000</v>
      </c>
      <c r="E10" s="18">
        <v>13334236000</v>
      </c>
      <c r="F10" s="6" t="s">
        <v>100</v>
      </c>
    </row>
    <row r="11" spans="1:6" x14ac:dyDescent="0.25">
      <c r="A11" t="s">
        <v>101</v>
      </c>
      <c r="B11" s="18">
        <v>1447984000</v>
      </c>
      <c r="C11" s="18">
        <v>2735465000</v>
      </c>
      <c r="D11" s="18">
        <v>1497785000</v>
      </c>
      <c r="E11" s="18">
        <v>1114628000</v>
      </c>
      <c r="F11" s="6" t="s">
        <v>102</v>
      </c>
    </row>
    <row r="12" spans="1:6" x14ac:dyDescent="0.25">
      <c r="A12" t="s">
        <v>34</v>
      </c>
      <c r="B12" s="34">
        <v>217361945</v>
      </c>
      <c r="C12" s="34">
        <v>198054451</v>
      </c>
      <c r="D12" s="34">
        <v>195773426</v>
      </c>
      <c r="E12" s="34">
        <v>175510798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70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