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<sst xmlns="http://schemas.openxmlformats.org/spreadsheetml/2006/main" count="115" uniqueCount="103">
  <si>
    <t>argenx SE (ARGX.BR)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</si>
  <si>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</si>
  <si>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</si>
  <si>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</si>
  <si>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</si>
  <si>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</si>
  <si>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</si>
  <si>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</si>
  <si>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</si>
  <si>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</si>
  <si>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</si>
  <si>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</si>
  <si>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</si>
  <si>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</si>
  <si>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</si>
  <si>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</si>
  <si>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</si>
  <si>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</si>
  <si>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</si>
  <si>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</si>
  <si>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</si>
  <si>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</si>
  <si>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</si>
  <si>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</si>
  <si>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</si>
  <si>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</si>
  <si>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</si>
  <si>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</si>
  <si>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</si>
  <si>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</si>
  <si>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</si>
  <si>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</si>
  <si>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</si>
  <si>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</si>
  <si>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</si>
  <si>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</si>
  <si>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</si>
  <si>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</si>
  <si>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</si>
  <si>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</si>
  <si>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</si>
  <si>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</si>
  <si>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</si>
  <si>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</si>
  <si>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</si>
  <si>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</si>
  <si>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</si>
  <si>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</si>
  <si>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</si>
  <si>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</si>
  <si>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</si>
  <si>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</si>
  <si>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</si>
  <si>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</si>
  <si>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</si>
  <si>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</si>
  <si>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</si>
  <si>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</si>
  <si>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</si>
  <si>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</si>
  <si>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</si>
  <si>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</si>
  <si>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</si>
  <si>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</si>
  <si>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</si>
  <si>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</si>
  <si>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</si>
  <si>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</si>
  <si>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</si>
  <si>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</si>
  <si>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USD to EUR</t>
  </si>
  <si>
    <t>USD/EUR at 0.8704</t>
  </si>
  <si>
    <t>Value per share (EUR)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</si>
  <si>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</si>
  <si>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</si>
  <si>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</si>
  <si>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</si>
  <si>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</si>
  <si>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</si>
  <si>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</si>
  <si>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</si>
  <si>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</si>
  <si>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</si>
  <si>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</si>
  <si>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</si>
  <si>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</si>
  <si>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</si>
  <si>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</si>
  <si>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</si>
  <si>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</si>
  <si>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</si>
  <si>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</si>
  <si>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</si>
  <si>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</si>
  <si>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</si>
  <si>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</si>
  <si>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</si>
  <si>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</si>
  <si>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Reports in USD, trades in EUR. Modelled in USD, converted at the end.</t>
  </si>
  <si>
    <t>Adjusted: Free cashflow is negative in at least one forecast year, so terminal value carries most of the valuation.</t>
  </si>
  <si>
    <t>Note: Risk-free rate is an assumption: USD assumption - no free live source available for this market.</t>
  </si>
  <si>
    <t>Current EV/EBITDA of 46.0x sits outside a defensible 3-20x band, so the exit multiple is capped at 20.0x. A multiple that far out usually means EBITDA is the wrong denominator for this business.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</si>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</sst>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0.5</v>
      </c>
    </row>
    <row r="7" spans="1:2" x14ac:dyDescent="0.25">
      <c r="A7" t="s">
        <v>5</v>
      </c>
      <c r="B7" s="6">
        <v>-0.46492369965037894</v>
      </c>
    </row>
    <row r="8" spans="1:2" x14ac:dyDescent="0.25">
      <c r="A8" t="s">
        <v>6</v>
      </c>
      <c r="B8" s="6">
        <v>0.25</v>
      </c>
    </row>
    <row r="9" spans="1:2" x14ac:dyDescent="0.25">
      <c r="A9" t="s">
        <v>7</v>
      </c>
      <c r="B9" s="6">
        <v>0.0898910155784032</v>
      </c>
    </row>
    <row r="10" spans="1:2" x14ac:dyDescent="0.25">
      <c r="A10" t="s">
        <v>8</v>
      </c>
      <c r="B10" s="6">
        <v>0.0866415248264922</v>
      </c>
    </row>
    <row r="11" spans="1:2" x14ac:dyDescent="0.25">
      <c r="A11" t="s">
        <v>9</v>
      </c>
      <c r="B11" s="6">
        <v>0.33734613529201224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0.10800919201889038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0.31325</v>
      </c>
      <c r="C19" s="8" t="s">
        <v>19</v>
      </c>
    </row>
    <row r="20" spans="1:2" x14ac:dyDescent="0.25">
      <c r="A20" t="s">
        <v>20</v>
      </c>
      <c r="B20" s="10">
        <f>B17+B19*B18</f>
        <v>0.06236125</v>
      </c>
    </row>
    <row r="21" spans="1:3" x14ac:dyDescent="0.25">
      <c r="A21" t="s">
        <v>21</v>
      </c>
      <c r="B21" s="6">
        <v>0.09469569554475543</v>
      </c>
      <c r="C21" s="8" t="s">
        <v>22</v>
      </c>
    </row>
    <row r="22" spans="1:2" x14ac:dyDescent="0.25">
      <c r="A22" t="s">
        <v>23</v>
      </c>
      <c r="B22" s="11">
        <v>54190424064</v>
      </c>
    </row>
    <row r="23" spans="1:2" x14ac:dyDescent="0.25">
      <c r="A23" t="s">
        <v>24</v>
      </c>
      <c r="B23" s="11">
        <v>47160000</v>
      </c>
    </row>
    <row r="24" spans="1:2" x14ac:dyDescent="0.25">
      <c r="A24" t="s">
        <v>25</v>
      </c>
      <c r="B24" s="10">
        <f>B22/(B22+B23)</f>
        <v>0.9991304922441908</v>
      </c>
    </row>
    <row r="25" spans="1:2" x14ac:dyDescent="0.25">
      <c r="A25" t="s">
        <v>26</v>
      </c>
      <c r="B25" s="10">
        <f>1-B24</f>
        <v>0.0008695077558091846</v>
      </c>
    </row>
    <row r="26" spans="1:2" x14ac:dyDescent="0.25">
      <c r="A26" t="s">
        <v>27</v>
      </c>
      <c r="B26" s="12">
        <f>B24*B20+B25*B21*(1-B8)</f>
        <v>0.06236878039075147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4153482000</v>
      </c>
      <c r="C29" s="8" t="s">
        <v>30</v>
      </c>
    </row>
    <row r="30" spans="1:2" x14ac:dyDescent="0.25">
      <c r="A30" t="s">
        <v>31</v>
      </c>
      <c r="B30" s="11">
        <v>-4392879000</v>
      </c>
    </row>
    <row r="31" spans="1:2" x14ac:dyDescent="0.25">
      <c r="A31" t="s">
        <v>32</v>
      </c>
      <c r="B31" s="13">
        <v>66029215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0.5</v>
      </c>
      <c r="C5" s="10">
        <f>Assumptions!B6</f>
        <v>0.5</v>
      </c>
      <c r="D5" s="10">
        <f>Assumptions!B6</f>
        <v>0.5</v>
      </c>
      <c r="E5" s="10">
        <f>Assumptions!B6</f>
        <v>0.5</v>
      </c>
      <c r="F5" s="10">
        <f>Assumptions!B6</f>
        <v>0.5</v>
      </c>
    </row>
    <row r="6" spans="1:6" x14ac:dyDescent="0.25">
      <c r="A6" t="s">
        <v>43</v>
      </c>
      <c r="B6" s="18">
        <f>Assumptions!B29*(1+B5)</f>
        <v>6230223000</v>
      </c>
      <c r="C6" s="18">
        <f>B6*(1+C5)</f>
        <v>9345334500</v>
      </c>
      <c r="D6" s="18">
        <f>C6*(1+D5)</f>
        <v>14018001750</v>
      </c>
      <c r="E6" s="18">
        <f>D6*(1+E5)</f>
        <v>21027002625</v>
      </c>
      <c r="F6" s="18">
        <f>E6*(1+F5)</f>
        <v>31540503937.5</v>
      </c>
    </row>
    <row r="7" spans="1:6" x14ac:dyDescent="0.25">
      <c r="A7" t="s">
        <v>5</v>
      </c>
      <c r="B7" s="10">
        <f>Assumptions!B7</f>
        <v>-0.46492369965037894</v>
      </c>
      <c r="C7" s="10">
        <f>Assumptions!B7</f>
        <v>-0.46492369965037894</v>
      </c>
      <c r="D7" s="10">
        <f>Assumptions!B7</f>
        <v>-0.46492369965037894</v>
      </c>
      <c r="E7" s="10">
        <f>Assumptions!B7</f>
        <v>-0.46492369965037894</v>
      </c>
      <c r="F7" s="10">
        <f>Assumptions!B7</f>
        <v>-0.46492369965037894</v>
      </c>
    </row>
    <row r="8" spans="1:6" x14ac:dyDescent="0.25">
      <c r="A8" t="s">
        <v>44</v>
      </c>
      <c r="B8" s="18">
        <f>B6*B7</f>
        <v>-2896578326.806883</v>
      </c>
      <c r="C8" s="18">
        <f>C6*C7</f>
        <v>-4344867490.210324</v>
      </c>
      <c r="D8" s="18">
        <f>D6*D7</f>
        <v>-6517301235.315486</v>
      </c>
      <c r="E8" s="18">
        <f>E6*E7</f>
        <v>-9775951852.97323</v>
      </c>
      <c r="F8" s="18">
        <f>F6*F7</f>
        <v>-14663927779.459845</v>
      </c>
    </row>
    <row r="9" spans="1:6" x14ac:dyDescent="0.25">
      <c r="A9" t="s">
        <v>45</v>
      </c>
      <c r="B9" s="18">
        <f>B8*(1-Assumptions!B8)</f>
        <v>-2172433745.105162</v>
      </c>
      <c r="C9" s="18">
        <f>C8*(1-Assumptions!B8)</f>
        <v>-3258650617.6577435</v>
      </c>
      <c r="D9" s="18">
        <f>D8*(1-Assumptions!B8)</f>
        <v>-4887975926.486614</v>
      </c>
      <c r="E9" s="18">
        <f>E8*(1-Assumptions!B8)</f>
        <v>-7331963889.729923</v>
      </c>
      <c r="F9" s="18">
        <f>F8*(1-Assumptions!B8)</f>
        <v>-10997945834.594883</v>
      </c>
    </row>
    <row r="10" spans="1:6" x14ac:dyDescent="0.25">
      <c r="A10" t="s">
        <v>46</v>
      </c>
      <c r="B10" s="18">
        <f>B6*Assumptions!B9</f>
        <v>560041072.749926</v>
      </c>
      <c r="C10" s="18">
        <f>C6*Assumptions!B9</f>
        <v>840061609.1248889</v>
      </c>
      <c r="D10" s="18">
        <f>D6*Assumptions!B9</f>
        <v>1260092413.6873333</v>
      </c>
      <c r="E10" s="18">
        <f>E6*Assumptions!B9</f>
        <v>1890138620.5310001</v>
      </c>
      <c r="F10" s="18">
        <f>F6*Assumptions!B9</f>
        <v>2835207930.7965</v>
      </c>
    </row>
    <row r="11" spans="1:6" x14ac:dyDescent="0.25">
      <c r="A11" t="s">
        <v>47</v>
      </c>
      <c r="B11" s="18">
        <f>-B6*Assumptions!B10</f>
        <v>-539796020.7290827</v>
      </c>
      <c r="C11" s="18">
        <f>-C6*Assumptions!B10</f>
        <v>-809694031.0936241</v>
      </c>
      <c r="D11" s="18">
        <f>-D6*Assumptions!B10</f>
        <v>-1214541046.6404362</v>
      </c>
      <c r="E11" s="18">
        <f>-E6*Assumptions!B10</f>
        <v>-1821811569.9606543</v>
      </c>
      <c r="F11" s="18">
        <f>-F6*Assumptions!B10</f>
        <v>-2732717354.9409814</v>
      </c>
    </row>
    <row r="12" spans="1:6" x14ac:dyDescent="0.25">
      <c r="A12" t="s">
        <v>48</v>
      </c>
      <c r="B12" s="18">
        <f>-(B6-Assumptions!B29)*Assumptions!B11</f>
        <v>-700580550.3524688</v>
      </c>
      <c r="C12" s="18">
        <f>-(C6-B6)*Assumptions!B11</f>
        <v>-1050870825.5287032</v>
      </c>
      <c r="D12" s="18">
        <f>-(D6-C6)*Assumptions!B11</f>
        <v>-1576306238.2930548</v>
      </c>
      <c r="E12" s="18">
        <f>-(E6-D6)*Assumptions!B11</f>
        <v>-2364459357.4395823</v>
      </c>
      <c r="F12" s="18">
        <f>-(F6-E6)*Assumptions!B11</f>
        <v>-3546689036.1593733</v>
      </c>
    </row>
    <row r="13" spans="1:6" x14ac:dyDescent="0.25">
      <c r="A13" s="19" t="s">
        <v>49</v>
      </c>
      <c r="B13" s="20">
        <f>B9+B10+B11+B12</f>
        <v>-2852769243.4367876</v>
      </c>
      <c r="C13" s="20">
        <f>C9+C10+C11+C12</f>
        <v>-4279153865.155182</v>
      </c>
      <c r="D13" s="20">
        <f>D9+D10+D11+D12</f>
        <v>-6418730797.732772</v>
      </c>
      <c r="E13" s="20">
        <f>E9+E10+E11+E12</f>
        <v>-9628096196.59916</v>
      </c>
      <c r="F13" s="20">
        <f>F9+F10+F11+F12</f>
        <v>-14442144294.898739</v>
      </c>
    </row>
    <row r="14" spans="1:6" x14ac:dyDescent="0.25">
      <c r="A14" t="s">
        <v>50</v>
      </c>
      <c r="B14" s="21">
        <f>1/(1+Assumptions!$B$26)^(1-0.5*Assumptions!$B$32)</f>
        <v>0.9702024123864599</v>
      </c>
      <c r="C14" s="21">
        <f>1/(1+Assumptions!$B$26)^(2-0.5*Assumptions!$B$32)</f>
        <v>0.9132444686765063</v>
      </c>
      <c r="D14" s="21">
        <f>1/(1+Assumptions!$B$26)^(3-0.5*Assumptions!$B$32)</f>
        <v>0.8596303708591704</v>
      </c>
      <c r="E14" s="21">
        <f>1/(1+Assumptions!$B$26)^(4-0.5*Assumptions!$B$32)</f>
        <v>0.809163810840703</v>
      </c>
      <c r="F14" s="21">
        <f>1/(1+Assumptions!$B$26)^(5-0.5*Assumptions!$B$32)</f>
        <v>0.7616600052413844</v>
      </c>
    </row>
    <row r="15" spans="1:6" x14ac:dyDescent="0.25">
      <c r="A15" s="19" t="s">
        <v>51</v>
      </c>
      <c r="B15" s="20">
        <f>B13*B14</f>
        <v>-2767763601.9642673</v>
      </c>
      <c r="C15" s="20">
        <f>C13*C14</f>
        <v>-3907913597.9686623</v>
      </c>
      <c r="D15" s="20">
        <f>D13*D14</f>
        <v>-5517735936.100202</v>
      </c>
      <c r="E15" s="20">
        <f>E13*E14</f>
        <v>-7790707009.581054</v>
      </c>
      <c r="F15" s="20">
        <f>F13*F14</f>
        <v>-11000003699.349403</v>
      </c>
    </row>
    <row r="17" spans="1:2" x14ac:dyDescent="0.25">
      <c r="A17" s="22" t="s">
        <v>52</v>
      </c>
      <c r="B17" s="23">
        <f>SUM(B15:F15)</f>
        <v>-30984123844.96359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-14442144294.898739</v>
      </c>
    </row>
    <row r="5" spans="1:2" x14ac:dyDescent="0.25">
      <c r="A5" t="s">
        <v>56</v>
      </c>
      <c r="B5" s="18">
        <f>IF(Assumptions!$B$33=0,B4,B4-Forecast!F11-Forecast!F10-Forecast!F12)</f>
        <v>-9003008539.73763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0.2314617814715955</v>
      </c>
    </row>
    <row r="7" spans="1:2" x14ac:dyDescent="0.25">
      <c r="A7" t="s">
        <v>58</v>
      </c>
      <c r="B7" s="18">
        <f>-MAX(Forecast!F9,0)*B6</f>
        <v>0</v>
      </c>
    </row>
    <row r="8" spans="1:2" x14ac:dyDescent="0.25">
      <c r="A8" t="s">
        <v>59</v>
      </c>
      <c r="B8" s="18">
        <f>IF(OR(Assumptions!$B$33=0,Assumptions!B12&lt;=0),B5,MAX(B5+B7,0))</f>
        <v>0</v>
      </c>
    </row>
    <row r="9" spans="1:2" x14ac:dyDescent="0.25">
      <c r="A9" t="s">
        <v>60</v>
      </c>
      <c r="B9" s="18">
        <f>B8*(1+Assumptions!B12)/(Assumptions!B26-Assumptions!B12)</f>
        <v>0</v>
      </c>
    </row>
    <row r="10" spans="1:2" x14ac:dyDescent="0.25">
      <c r="A10" t="s">
        <v>61</v>
      </c>
      <c r="B10" s="18">
        <f>B9/(1+Assumptions!B26)^(5-0.5*Assumptions!B32)</f>
        <v>0</v>
      </c>
    </row>
    <row r="11" spans="1:2" x14ac:dyDescent="0.25">
      <c r="A11" t="s">
        <v>62</v>
      </c>
      <c r="B11" s="18">
        <f>Forecast!B17+B10</f>
        <v>-30984123844.96359</v>
      </c>
    </row>
    <row r="12" spans="1:2" x14ac:dyDescent="0.25">
      <c r="A12" t="s">
        <v>63</v>
      </c>
      <c r="B12" s="18">
        <f>-Assumptions!B30</f>
        <v>4392879000</v>
      </c>
    </row>
    <row r="13" spans="1:2" x14ac:dyDescent="0.25">
      <c r="A13" t="s">
        <v>64</v>
      </c>
      <c r="B13" s="18">
        <f>B11+B12</f>
        <v>-26591244844.96359</v>
      </c>
    </row>
    <row r="14" spans="1:2" x14ac:dyDescent="0.25">
      <c r="A14" s="19" t="s">
        <v>65</v>
      </c>
      <c r="B14" s="24">
        <f>B13/Assumptions!B31</f>
        <v>-402.7193848202434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-11828719848.663345</v>
      </c>
    </row>
    <row r="18" spans="1:2" x14ac:dyDescent="0.25">
      <c r="A18" t="s">
        <v>60</v>
      </c>
      <c r="B18" s="18">
        <f>B17*Assumptions!B13</f>
        <v>-236574396973.2669</v>
      </c>
    </row>
    <row r="19" spans="1:2" x14ac:dyDescent="0.25">
      <c r="A19" t="s">
        <v>61</v>
      </c>
      <c r="B19" s="18">
        <f>B18/(1+Assumptions!B26)^(5-0.5*Assumptions!B32)</f>
        <v>-180189256438.63583</v>
      </c>
    </row>
    <row r="20" spans="1:2" x14ac:dyDescent="0.25">
      <c r="A20" t="s">
        <v>62</v>
      </c>
      <c r="B20" s="18">
        <f>Forecast!B17+B19</f>
        <v>-211173380283.59943</v>
      </c>
    </row>
    <row r="21" spans="1:2" x14ac:dyDescent="0.25">
      <c r="A21" t="s">
        <v>63</v>
      </c>
      <c r="B21" s="18">
        <f>-Assumptions!B30</f>
        <v>4392879000</v>
      </c>
    </row>
    <row r="22" spans="1:2" x14ac:dyDescent="0.25">
      <c r="A22" t="s">
        <v>64</v>
      </c>
      <c r="B22" s="18">
        <f>B20+B21</f>
        <v>-206780501283.59943</v>
      </c>
    </row>
    <row r="23" spans="1:2" x14ac:dyDescent="0.25">
      <c r="A23" s="19" t="s">
        <v>65</v>
      </c>
      <c r="B23" s="25">
        <f>B22/Assumptions!B31</f>
        <v>-3131.6516678806406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871.4</v>
      </c>
    </row>
    <row r="27" spans="1:3" x14ac:dyDescent="0.25">
      <c r="A27" t="s">
        <v>70</v>
      </c>
      <c r="B27" s="27">
        <v>0.8704</v>
      </c>
      <c r="C27" s="8" t="s">
        <v>71</v>
      </c>
    </row>
    <row r="28" spans="1:2" x14ac:dyDescent="0.25">
      <c r="A28" t="s">
        <v>72</v>
      </c>
      <c r="B28" s="28">
        <f>B14*B27</f>
        <v>-350.52695254753985</v>
      </c>
    </row>
    <row r="29" spans="1:2" x14ac:dyDescent="0.25">
      <c r="A29" s="19" t="s">
        <v>73</v>
      </c>
      <c r="B29" s="12">
        <f>B28/B26-1</f>
        <v>-1.40225723266874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0.042369</v>
      </c>
      <c r="B5" s="31">
        <v>-431.8871358253359</v>
      </c>
      <c r="C5" s="31">
        <v>-431.8871358253359</v>
      </c>
      <c r="D5" s="31">
        <v>-431.8871358253359</v>
      </c>
      <c r="E5" s="31">
        <v>-431.8871358253359</v>
      </c>
      <c r="F5" s="31">
        <v>-431.8871358253359</v>
      </c>
    </row>
    <row r="6" spans="1:6" x14ac:dyDescent="0.25">
      <c r="A6" s="30">
        <v>0.052369</v>
      </c>
      <c r="B6" s="31">
        <v>-416.9766475955061</v>
      </c>
      <c r="C6" s="31">
        <v>-416.9766475955061</v>
      </c>
      <c r="D6" s="31">
        <v>-416.9766475955061</v>
      </c>
      <c r="E6" s="31">
        <v>-416.9766475955061</v>
      </c>
      <c r="F6" s="31">
        <v>-416.9766475955061</v>
      </c>
    </row>
    <row r="7" spans="1:6" x14ac:dyDescent="0.25">
      <c r="A7" s="30">
        <v>0.062369</v>
      </c>
      <c r="B7" s="31">
        <v>-402.719078615786</v>
      </c>
      <c r="C7" s="31">
        <v>-402.719078615786</v>
      </c>
      <c r="D7" s="32">
        <v>-402.719078615786</v>
      </c>
      <c r="E7" s="31">
        <v>-402.719078615786</v>
      </c>
      <c r="F7" s="31">
        <v>-402.719078615786</v>
      </c>
    </row>
    <row r="8" spans="1:6" x14ac:dyDescent="0.25">
      <c r="A8" s="30">
        <v>0.072369</v>
      </c>
      <c r="B8" s="31">
        <v>-389.07891465301185</v>
      </c>
      <c r="C8" s="31">
        <v>-389.07891465301185</v>
      </c>
      <c r="D8" s="31">
        <v>-389.07891465301185</v>
      </c>
      <c r="E8" s="31">
        <v>-389.07891465301185</v>
      </c>
      <c r="F8" s="31">
        <v>-389.07891465301185</v>
      </c>
    </row>
    <row r="9" spans="1:6" x14ac:dyDescent="0.25">
      <c r="A9" s="30">
        <v>0.082369</v>
      </c>
      <c r="B9" s="31">
        <v>-376.0229151797026</v>
      </c>
      <c r="C9" s="31">
        <v>-376.0229151797026</v>
      </c>
      <c r="D9" s="31">
        <v>-376.0229151797026</v>
      </c>
      <c r="E9" s="31">
        <v>-376.0229151797026</v>
      </c>
      <c r="F9" s="31">
        <v>-376.0229151797026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4153482000</v>
      </c>
      <c r="C5" s="18">
        <v>2190231000</v>
      </c>
      <c r="D5" s="18">
        <v>1226316000</v>
      </c>
      <c r="E5" s="18">
        <v>410746000</v>
      </c>
      <c r="F5" s="8" t="s">
        <v>84</v>
      </c>
    </row>
    <row r="6" spans="1:6" x14ac:dyDescent="0.25">
      <c r="A6" t="s">
        <v>44</v>
      </c>
      <c r="B6" s="18">
        <v>1054615000</v>
      </c>
      <c r="C6" s="18">
        <v>-17844000</v>
      </c>
      <c r="D6" s="18">
        <v>-420638000</v>
      </c>
      <c r="E6" s="18">
        <v>-723919000</v>
      </c>
      <c r="F6" s="8" t="s">
        <v>85</v>
      </c>
    </row>
    <row r="7" spans="1:6" x14ac:dyDescent="0.25">
      <c r="A7" t="s">
        <v>86</v>
      </c>
      <c r="B7" s="18">
        <v>28102000</v>
      </c>
      <c r="C7" s="18">
        <v>17527000</v>
      </c>
      <c r="D7" s="18">
        <v>111307000</v>
      </c>
      <c r="E7" s="18">
        <v>104342000</v>
      </c>
      <c r="F7" s="8" t="s">
        <v>87</v>
      </c>
    </row>
    <row r="8" spans="1:6" x14ac:dyDescent="0.25">
      <c r="A8" t="s">
        <v>88</v>
      </c>
      <c r="B8" s="18">
        <v>111680000</v>
      </c>
      <c r="C8" s="18">
        <v>68301000</v>
      </c>
      <c r="D8" s="18">
        <v>43812000</v>
      </c>
      <c r="E8" s="18">
        <v>103823000</v>
      </c>
      <c r="F8" s="8" t="s">
        <v>89</v>
      </c>
    </row>
    <row r="9" spans="1:6" x14ac:dyDescent="0.25">
      <c r="A9" t="s">
        <v>90</v>
      </c>
      <c r="B9" s="18">
        <v>422628000</v>
      </c>
      <c r="C9" s="18">
        <v>325173000</v>
      </c>
      <c r="D9" s="18">
        <v>308891000</v>
      </c>
      <c r="E9" s="18">
        <v>375722000</v>
      </c>
      <c r="F9" s="8" t="s">
        <v>91</v>
      </c>
    </row>
    <row r="10" spans="1:6" x14ac:dyDescent="0.25">
      <c r="A10" t="s">
        <v>92</v>
      </c>
      <c r="B10" s="18">
        <v>47160000</v>
      </c>
      <c r="C10" s="18">
        <v>39053000</v>
      </c>
      <c r="D10" s="18">
        <v>20000000</v>
      </c>
      <c r="E10" s="18">
        <v>12426000</v>
      </c>
      <c r="F10" s="8" t="s">
        <v>93</v>
      </c>
    </row>
    <row r="11" spans="1:6" x14ac:dyDescent="0.25">
      <c r="A11" t="s">
        <v>94</v>
      </c>
      <c r="B11" s="18">
        <v>4440039000</v>
      </c>
      <c r="C11" s="18">
        <v>3378826000</v>
      </c>
      <c r="D11" s="18">
        <v>3179844000</v>
      </c>
      <c r="E11" s="18">
        <v>2192548000</v>
      </c>
      <c r="F11" s="8" t="s">
        <v>95</v>
      </c>
    </row>
    <row r="12" spans="1:6" x14ac:dyDescent="0.25">
      <c r="A12" t="s">
        <v>32</v>
      </c>
      <c r="B12" s="34">
        <v>66029215</v>
      </c>
      <c r="C12" s="34">
        <v>65177815</v>
      </c>
      <c r="D12" s="34">
        <v>57169253</v>
      </c>
      <c r="E12" s="34">
        <v>54381371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19" ht="38" customHeight="1" spans="1:6" x14ac:dyDescent="0.25">
      <c r="A19" s="35" t="s">
        <v>101</v>
      </c>
      <c r="B19" s="35"/>
      <c r="C19" s="35"/>
      <c r="D19" s="35"/>
      <c r="E19" s="35"/>
      <c r="F19" s="35"/>
    </row>
    <row r="21" spans="1:1" x14ac:dyDescent="0.25">
      <c r="A21" s="36" t="s">
        <v>102</v>
      </c>
    </row>
  </sheetData>
  <mergeCells count="4">
    <mergeCell ref="A16:F16"/>
    <mergeCell ref="A17:F17"/>
    <mergeCell ref="A18:F18"/>
    <mergeCell ref="A19:F1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2026-09-19T00:09:45Z</dcterms:modified>
</cp:coreProperties>
</file>