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<sst xmlns="http://schemas.openxmlformats.org/spreadsheetml/2006/main" count="115" uniqueCount="103">
  <si>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Austal Limited (ASB.AX)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</si>
  <si>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</si>
  <si>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</si>
  <si>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</si>
  <si>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</si>
  <si>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</si>
  <si>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</si>
  <si>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</si>
  <si>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</si>
  <si>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</si>
  <si>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</si>
  <si>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</si>
  <si>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</si>
  <si>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</si>
  <si>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</si>
  <si>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</si>
  <si>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</si>
  <si>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</si>
  <si>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</si>
  <si>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</si>
  <si>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</si>
  <si>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</si>
  <si>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</si>
  <si>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</si>
  <si>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</si>
  <si>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</si>
  <si>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</si>
  <si>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</si>
  <si>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</si>
  <si>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</si>
  <si>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</si>
  <si>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</si>
  <si>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</si>
  <si>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</si>
  <si>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</si>
  <si>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</si>
  <si>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</si>
  <si>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</si>
  <si>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</si>
  <si>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</si>
  <si>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</si>
  <si>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</si>
  <si>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</si>
  <si>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</si>
  <si>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</si>
  <si>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</si>
  <si>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</si>
  <si>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</si>
  <si>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</si>
  <si>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</si>
  <si>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</si>
  <si>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</si>
  <si>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</si>
  <si>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</si>
  <si>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</si>
  <si>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</si>
  <si>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</si>
  <si>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</si>
  <si>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</si>
  <si>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</si>
  <si>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</si>
  <si>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</si>
  <si>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</si>
  <si>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</si>
  <si>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</si>
  <si>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</si>
  <si>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</si>
  <si>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</si>
  <si>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</si>
  <si>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</si>
  <si>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</si>
  <si>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</si>
  <si>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</si>
  <si>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</si>
  <si>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</si>
  <si>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</si>
  <si>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</si>
  <si>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</si>
  <si>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</si>
  <si>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</si>
  <si>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</si>
  <si>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</si>
  <si>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</si>
  <si>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</si>
  <si>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</si>
  <si>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</si>
  <si>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</si>
  <si>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</si>
  <si>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</si>
  <si>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</si>
  <si>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</si>
  <si>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</si>
  <si>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</si>
  <si>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</si>
  <si>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</si>
  <si>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</si>
  <si>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</si>
  <si>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</si>
  <si>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</si>
  <si>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</si>
  <si>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10.3%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</si>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</sst>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0.08578800331425351</v>
      </c>
    </row>
    <row r="7" spans="1:2" x14ac:dyDescent="0.25">
      <c r="A7" t="s">
        <v>5</v>
      </c>
      <c r="B7" s="6">
        <v>-0.05516541256651878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0.03955637445029187</v>
      </c>
    </row>
    <row r="10" spans="1:2" x14ac:dyDescent="0.25">
      <c r="A10" t="s">
        <v>8</v>
      </c>
      <c r="B10" s="6">
        <v>0.10257386382316208</v>
      </c>
    </row>
    <row r="11" spans="1:2" x14ac:dyDescent="0.25">
      <c r="A11" t="s">
        <v>9</v>
      </c>
      <c r="B11" s="6">
        <v>0.2710182546624157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0.08849252235981761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0.6784</v>
      </c>
      <c r="C19" s="8" t="s">
        <v>19</v>
      </c>
    </row>
    <row r="20" spans="1:2" x14ac:dyDescent="0.25">
      <c r="A20" t="s">
        <v>20</v>
      </c>
      <c r="B20" s="10">
        <f>B17+B19*B18</f>
        <v>0.09418399999999999</v>
      </c>
    </row>
    <row r="21" spans="1:3" x14ac:dyDescent="0.25">
      <c r="A21" t="s">
        <v>21</v>
      </c>
      <c r="B21" s="6">
        <v>0.07238538120807281</v>
      </c>
      <c r="C21" s="8" t="s">
        <v>22</v>
      </c>
    </row>
    <row r="22" spans="1:2" x14ac:dyDescent="0.25">
      <c r="A22" t="s">
        <v>23</v>
      </c>
      <c r="B22" s="11">
        <v>1958424320</v>
      </c>
    </row>
    <row r="23" spans="1:2" x14ac:dyDescent="0.25">
      <c r="A23" t="s">
        <v>24</v>
      </c>
      <c r="B23" s="11">
        <v>294699000</v>
      </c>
    </row>
    <row r="24" spans="1:2" x14ac:dyDescent="0.25">
      <c r="A24" t="s">
        <v>25</v>
      </c>
      <c r="B24" s="10">
        <f>B22/(B22+B23)</f>
        <v>0.8692042297977725</v>
      </c>
    </row>
    <row r="25" spans="1:2" x14ac:dyDescent="0.25">
      <c r="A25" t="s">
        <v>26</v>
      </c>
      <c r="B25" s="10">
        <f>1-B24</f>
        <v>0.13079577020222755</v>
      </c>
    </row>
    <row r="26" spans="1:2" x14ac:dyDescent="0.25">
      <c r="A26" t="s">
        <v>27</v>
      </c>
      <c r="B26" s="12">
        <f>B24*B20+B25*B21*(1-B8)</f>
        <v>0.08849252235981761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2028961000</v>
      </c>
      <c r="C29" s="8" t="s">
        <v>30</v>
      </c>
    </row>
    <row r="30" spans="1:2" x14ac:dyDescent="0.25">
      <c r="A30" t="s">
        <v>31</v>
      </c>
      <c r="B30" s="11">
        <v>-17196000</v>
      </c>
    </row>
    <row r="31" spans="1:2" x14ac:dyDescent="0.25">
      <c r="A31" t="s">
        <v>32</v>
      </c>
      <c r="B31" s="13">
        <v>422050221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0.08578800331425351</v>
      </c>
      <c r="C5" s="10">
        <f>Assumptions!B6</f>
        <v>0.08578800331425351</v>
      </c>
      <c r="D5" s="10">
        <f>Assumptions!B6</f>
        <v>0.08578800331425351</v>
      </c>
      <c r="E5" s="10">
        <f>Assumptions!B6</f>
        <v>0.08578800331425351</v>
      </c>
      <c r="F5" s="10">
        <f>Assumptions!B6</f>
        <v>0.08578800331425351</v>
      </c>
    </row>
    <row r="6" spans="1:6" x14ac:dyDescent="0.25">
      <c r="A6" t="s">
        <v>43</v>
      </c>
      <c r="B6" s="18">
        <f>Assumptions!B29*(1+B5)</f>
        <v>2203021512.9924912</v>
      </c>
      <c r="C6" s="18">
        <f>B6*(1+C5)</f>
        <v>2392014329.850463</v>
      </c>
      <c r="D6" s="18">
        <f>C6*(1+D5)</f>
        <v>2597220463.107416</v>
      </c>
      <c r="E6" s="18">
        <f>D6*(1+E5)</f>
        <v>2820030820.8043222</v>
      </c>
      <c r="F6" s="18">
        <f>E6*(1+F5)</f>
        <v>3061955634.2057805</v>
      </c>
    </row>
    <row r="7" spans="1:6" x14ac:dyDescent="0.25">
      <c r="A7" t="s">
        <v>5</v>
      </c>
      <c r="B7" s="10">
        <f>Assumptions!B7</f>
        <v>-0.05516541256651878</v>
      </c>
      <c r="C7" s="10">
        <f>Assumptions!B7</f>
        <v>-0.05516541256651878</v>
      </c>
      <c r="D7" s="10">
        <f>Assumptions!B7</f>
        <v>-0.05516541256651878</v>
      </c>
      <c r="E7" s="10">
        <f>Assumptions!B7</f>
        <v>-0.05516541256651878</v>
      </c>
      <c r="F7" s="10">
        <f>Assumptions!B7</f>
        <v>-0.05516541256651878</v>
      </c>
    </row>
    <row r="8" spans="1:6" x14ac:dyDescent="0.25">
      <c r="A8" t="s">
        <v>44</v>
      </c>
      <c r="B8" s="18">
        <f>B6*B7</f>
        <v>-121530590.6571472</v>
      </c>
      <c r="C8" s="18">
        <f>C6*C7</f>
        <v>-131956457.37122573</v>
      </c>
      <c r="D8" s="18">
        <f>D6*D7</f>
        <v>-143276738.3735256</v>
      </c>
      <c r="E8" s="18">
        <f>E6*E7</f>
        <v>-155568163.67996904</v>
      </c>
      <c r="F8" s="18">
        <f>F6*F7</f>
        <v>-168914045.82133853</v>
      </c>
    </row>
    <row r="9" spans="1:6" x14ac:dyDescent="0.25">
      <c r="A9" t="s">
        <v>45</v>
      </c>
      <c r="B9" s="18">
        <f>B8*(1-Assumptions!B8)</f>
        <v>-85071413.46000303</v>
      </c>
      <c r="C9" s="18">
        <f>C8*(1-Assumptions!B8)</f>
        <v>-92369520.159858</v>
      </c>
      <c r="D9" s="18">
        <f>D8*(1-Assumptions!B8)</f>
        <v>-100293716.86146791</v>
      </c>
      <c r="E9" s="18">
        <f>E8*(1-Assumptions!B8)</f>
        <v>-108897714.57597832</v>
      </c>
      <c r="F9" s="18">
        <f>F8*(1-Assumptions!B8)</f>
        <v>-118239832.07493697</v>
      </c>
    </row>
    <row r="10" spans="1:6" x14ac:dyDescent="0.25">
      <c r="A10" t="s">
        <v>46</v>
      </c>
      <c r="B10" s="18">
        <f>B6*Assumptions!B9</f>
        <v>87143543.88997953</v>
      </c>
      <c r="C10" s="18">
        <f>C6*Assumptions!B9</f>
        <v>94619414.52202888</v>
      </c>
      <c r="D10" s="18">
        <f>D6*Assumptions!B9</f>
        <v>102736625.16863742</v>
      </c>
      <c r="E10" s="18">
        <f>E6*Assumptions!B9</f>
        <v>111550195.1090997</v>
      </c>
      <c r="F10" s="18">
        <f>F6*Assumptions!B9</f>
        <v>121119863.61682478</v>
      </c>
    </row>
    <row r="11" spans="1:6" x14ac:dyDescent="0.25">
      <c r="A11" t="s">
        <v>47</v>
      </c>
      <c r="B11" s="18">
        <f>-B6*Assumptions!B10</f>
        <v>-225972428.6731883</v>
      </c>
      <c r="C11" s="18">
        <f>-C6*Assumptions!B10</f>
        <v>-245358152.13313368</v>
      </c>
      <c r="D11" s="18">
        <f>-D6*Assumptions!B10</f>
        <v>-266406938.10151005</v>
      </c>
      <c r="E11" s="18">
        <f>-E6*Assumptions!B10</f>
        <v>-289261457.39030254</v>
      </c>
      <c r="F11" s="18">
        <f>-F6*Assumptions!B10</f>
        <v>-314076620.25558764</v>
      </c>
    </row>
    <row r="12" spans="1:6" x14ac:dyDescent="0.25">
      <c r="A12" t="s">
        <v>48</v>
      </c>
      <c r="B12" s="18">
        <f>-(B6-Assumptions!B29)*Assumptions!B11</f>
        <v>-47173576.43686971</v>
      </c>
      <c r="C12" s="18">
        <f>-(C6-B6)*Assumptions!B11</f>
        <v>-51220503.36858106</v>
      </c>
      <c r="D12" s="18">
        <f>-(D6-C6)*Assumptions!B11</f>
        <v>-55614608.081322566</v>
      </c>
      <c r="E12" s="18">
        <f>-(E6-D6)*Assumptions!B11</f>
        <v>-60385674.26372403</v>
      </c>
      <c r="F12" s="18">
        <f>-(F6-E6)*Assumptions!B11</f>
        <v>-65566040.68759381</v>
      </c>
    </row>
    <row r="13" spans="1:6" x14ac:dyDescent="0.25">
      <c r="A13" s="19" t="s">
        <v>49</v>
      </c>
      <c r="B13" s="20">
        <f>B9+B10+B11+B12</f>
        <v>-271073874.6800815</v>
      </c>
      <c r="C13" s="20">
        <f>C9+C10+C11+C12</f>
        <v>-294328761.1395439</v>
      </c>
      <c r="D13" s="20">
        <f>D9+D10+D11+D12</f>
        <v>-319578637.8756631</v>
      </c>
      <c r="E13" s="20">
        <f>E9+E10+E11+E12</f>
        <v>-346994651.1209052</v>
      </c>
      <c r="F13" s="20">
        <f>F9+F10+F11+F12</f>
        <v>-376762629.40129364</v>
      </c>
    </row>
    <row r="14" spans="1:6" x14ac:dyDescent="0.25">
      <c r="A14" t="s">
        <v>50</v>
      </c>
      <c r="B14" s="21">
        <f>1/(1+Assumptions!$B$26)^(1-0.5*Assumptions!$B$32)</f>
        <v>0.9584893132628854</v>
      </c>
      <c r="C14" s="21">
        <f>1/(1+Assumptions!$B$26)^(2-0.5*Assumptions!$B$32)</f>
        <v>0.8805658225238983</v>
      </c>
      <c r="D14" s="21">
        <f>1/(1+Assumptions!$B$26)^(3-0.5*Assumptions!$B$32)</f>
        <v>0.8089773741530711</v>
      </c>
      <c r="E14" s="21">
        <f>1/(1+Assumptions!$B$26)^(4-0.5*Assumptions!$B$32)</f>
        <v>0.7432089403786013</v>
      </c>
      <c r="F14" s="21">
        <f>1/(1+Assumptions!$B$26)^(5-0.5*Assumptions!$B$32)</f>
        <v>0.6827873642782107</v>
      </c>
    </row>
    <row r="15" spans="1:6" x14ac:dyDescent="0.25">
      <c r="A15" s="19" t="s">
        <v>51</v>
      </c>
      <c r="B15" s="20">
        <f>B13*B14</f>
        <v>-259821411.98562077</v>
      </c>
      <c r="C15" s="20">
        <f>C13*C14</f>
        <v>-259175847.64528245</v>
      </c>
      <c r="D15" s="20">
        <f>D13*D14</f>
        <v>-258531887.30406913</v>
      </c>
      <c r="E15" s="20">
        <f>E13*E14</f>
        <v>-257889526.97661042</v>
      </c>
      <c r="F15" s="20">
        <f>F13*F14</f>
        <v>-257248762.6874376</v>
      </c>
    </row>
    <row r="17" spans="1:2" x14ac:dyDescent="0.25">
      <c r="A17" s="22" t="s">
        <v>52</v>
      </c>
      <c r="B17" s="23">
        <f>SUM(B15:F15)</f>
        <v>-1292667436.5990205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-376762629.40129364</v>
      </c>
    </row>
    <row r="5" spans="1:2" x14ac:dyDescent="0.25">
      <c r="A5" t="s">
        <v>56</v>
      </c>
      <c r="B5" s="18">
        <f>IF(Assumptions!$B$33=0,B4,B4-Forecast!F11-Forecast!F10-Forecast!F12)</f>
        <v>-118239832.07493697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0.28250974583307753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-1292667436.5990205</v>
      </c>
    </row>
    <row r="12" spans="1:2" x14ac:dyDescent="0.25">
      <c r="A12" t="s">
        <v>63</v>
      </c>
      <c r="B12" s="18">
        <f>-Assumptions!B30</f>
        <v>17196000</v>
      </c>
    </row>
    <row r="13" spans="1:2" x14ac:dyDescent="0.25">
      <c r="A13" t="s">
        <v>64</v>
      </c>
      <c r="B13" s="18">
        <f>B11+B12</f>
        <v>-1275471436.5990205</v>
      </c>
    </row>
    <row r="14" spans="1:2" x14ac:dyDescent="0.25">
      <c r="A14" s="19" t="s">
        <v>65</v>
      </c>
      <c r="B14" s="24">
        <f>B13/Assumptions!B31</f>
        <v>-3.0220845130158587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-47794182.20451376</v>
      </c>
    </row>
    <row r="18" spans="1:2" x14ac:dyDescent="0.25">
      <c r="A18" t="s">
        <v>60</v>
      </c>
      <c r="B18" s="18">
        <f>B17*Assumptions!B13</f>
        <v>-382353457.63611007</v>
      </c>
    </row>
    <row r="19" spans="1:2" x14ac:dyDescent="0.25">
      <c r="A19" t="s">
        <v>61</v>
      </c>
      <c r="B19" s="18">
        <f>B18/(1+Assumptions!B26)^(5-0.5*Assumptions!B32)</f>
        <v>-261066109.5620201</v>
      </c>
    </row>
    <row r="20" spans="1:2" x14ac:dyDescent="0.25">
      <c r="A20" t="s">
        <v>62</v>
      </c>
      <c r="B20" s="18">
        <f>Forecast!B17+B19</f>
        <v>-1553733546.1610405</v>
      </c>
    </row>
    <row r="21" spans="1:2" x14ac:dyDescent="0.25">
      <c r="A21" t="s">
        <v>63</v>
      </c>
      <c r="B21" s="18">
        <f>-Assumptions!B30</f>
        <v>17196000</v>
      </c>
    </row>
    <row r="22" spans="1:2" x14ac:dyDescent="0.25">
      <c r="A22" t="s">
        <v>64</v>
      </c>
      <c r="B22" s="18">
        <f>B20+B21</f>
        <v>-1536537546.1610405</v>
      </c>
    </row>
    <row r="23" spans="1:2" x14ac:dyDescent="0.25">
      <c r="A23" s="19" t="s">
        <v>65</v>
      </c>
      <c r="B23" s="25">
        <f>B22/Assumptions!B31</f>
        <v>-3.6406509692623534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-3.0220845130158587</v>
      </c>
    </row>
    <row r="29" spans="1:2" x14ac:dyDescent="0.25">
      <c r="A29" s="19" t="s">
        <v>73</v>
      </c>
      <c r="B29" s="12">
        <f>B28/B26-1</f>
        <v>-1.6513113174603145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0.068493</v>
      </c>
      <c r="B5" s="31">
        <v>-3.168231328357005</v>
      </c>
      <c r="C5" s="31">
        <v>-3.168231328357005</v>
      </c>
      <c r="D5" s="31">
        <v>-3.168231328357005</v>
      </c>
      <c r="E5" s="31">
        <v>-3.168231328357005</v>
      </c>
      <c r="F5" s="31">
        <v>-3.168231328357005</v>
      </c>
    </row>
    <row r="6" spans="1:6" x14ac:dyDescent="0.25">
      <c r="A6" s="30">
        <v>0.078493</v>
      </c>
      <c r="B6" s="31">
        <v>-3.093696484757178</v>
      </c>
      <c r="C6" s="31">
        <v>-3.093696484757178</v>
      </c>
      <c r="D6" s="31">
        <v>-3.093696484757178</v>
      </c>
      <c r="E6" s="31">
        <v>-3.093696484757178</v>
      </c>
      <c r="F6" s="31">
        <v>-3.093696484757178</v>
      </c>
    </row>
    <row r="7" spans="1:6" x14ac:dyDescent="0.25">
      <c r="A7" s="30">
        <v>0.088493</v>
      </c>
      <c r="B7" s="31">
        <v>-3.0220811597152037</v>
      </c>
      <c r="C7" s="31">
        <v>-3.0220811597152037</v>
      </c>
      <c r="D7" s="32">
        <v>-3.0220811597152037</v>
      </c>
      <c r="E7" s="31">
        <v>-3.0220811597152037</v>
      </c>
      <c r="F7" s="31">
        <v>-3.0220811597152037</v>
      </c>
    </row>
    <row r="8" spans="1:6" x14ac:dyDescent="0.25">
      <c r="A8" s="30">
        <v>0.098493</v>
      </c>
      <c r="B8" s="31">
        <v>-2.9532378034355697</v>
      </c>
      <c r="C8" s="31">
        <v>-2.9532378034355697</v>
      </c>
      <c r="D8" s="31">
        <v>-2.9532378034355697</v>
      </c>
      <c r="E8" s="31">
        <v>-2.9532378034355697</v>
      </c>
      <c r="F8" s="31">
        <v>-2.9532378034355697</v>
      </c>
    </row>
    <row r="9" spans="1:6" x14ac:dyDescent="0.25">
      <c r="A9" s="30">
        <v>0.108493</v>
      </c>
      <c r="B9" s="31">
        <v>-2.887027796940047</v>
      </c>
      <c r="C9" s="31">
        <v>-2.887027796940047</v>
      </c>
      <c r="D9" s="31">
        <v>-2.887027796940047</v>
      </c>
      <c r="E9" s="31">
        <v>-2.887027796940047</v>
      </c>
      <c r="F9" s="31">
        <v>-2.887027796940047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2028961000</v>
      </c>
      <c r="C5" s="18">
        <v>1823337000</v>
      </c>
      <c r="D5" s="18">
        <v>1468907000</v>
      </c>
      <c r="E5" s="18">
        <v>1585034000</v>
      </c>
      <c r="F5" s="8" t="s">
        <v>84</v>
      </c>
    </row>
    <row r="6" spans="1:6" x14ac:dyDescent="0.25">
      <c r="A6" t="s">
        <v>44</v>
      </c>
      <c r="B6" s="18">
        <v>-217666000</v>
      </c>
      <c r="C6" s="18">
        <v>7599000</v>
      </c>
      <c r="D6" s="18">
        <v>-90471000</v>
      </c>
      <c r="E6" s="18">
        <v>-88697000</v>
      </c>
      <c r="F6" s="8" t="s">
        <v>85</v>
      </c>
    </row>
    <row r="7" spans="1:6" x14ac:dyDescent="0.25">
      <c r="A7" t="s">
        <v>86</v>
      </c>
      <c r="B7" s="18">
        <v>70161000</v>
      </c>
      <c r="C7" s="18">
        <v>73131000</v>
      </c>
      <c r="D7" s="18">
        <v>67276000</v>
      </c>
      <c r="E7" s="18">
        <v>59815000</v>
      </c>
      <c r="F7" s="8" t="s">
        <v>87</v>
      </c>
    </row>
    <row r="8" spans="1:6" x14ac:dyDescent="0.25">
      <c r="A8" t="s">
        <v>88</v>
      </c>
      <c r="B8" s="18">
        <v>353546000</v>
      </c>
      <c r="C8" s="18">
        <v>195644000</v>
      </c>
      <c r="D8" s="18">
        <v>69916000</v>
      </c>
      <c r="E8" s="18">
        <v>128623000</v>
      </c>
      <c r="F8" s="8" t="s">
        <v>89</v>
      </c>
    </row>
    <row r="9" spans="1:6" x14ac:dyDescent="0.25">
      <c r="A9" t="s">
        <v>90</v>
      </c>
      <c r="B9" s="18">
        <v>64542000</v>
      </c>
      <c r="C9" s="18">
        <v>96057000</v>
      </c>
      <c r="D9" s="18">
        <v>-8301000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294699000</v>
      </c>
      <c r="C10" s="18">
        <v>266989000</v>
      </c>
      <c r="D10" s="18">
        <v>281058000</v>
      </c>
      <c r="E10" s="18">
        <v>240457000</v>
      </c>
      <c r="F10" s="8" t="s">
        <v>93</v>
      </c>
    </row>
    <row r="11" spans="1:6" x14ac:dyDescent="0.25">
      <c r="A11" t="s">
        <v>94</v>
      </c>
      <c r="B11" s="18">
        <v>311895000</v>
      </c>
      <c r="C11" s="18">
        <v>583933000</v>
      </c>
      <c r="D11" s="18">
        <v>173510000</v>
      </c>
      <c r="E11" s="18">
        <v>179201000</v>
      </c>
      <c r="F11" s="8" t="s">
        <v>95</v>
      </c>
    </row>
    <row r="12" spans="1:6" x14ac:dyDescent="0.25">
      <c r="A12" t="s">
        <v>32</v>
      </c>
      <c r="B12" s="34">
        <v>422050221</v>
      </c>
      <c r="C12" s="34">
        <v>385120172</v>
      </c>
      <c r="D12" s="34">
        <v>362510175</v>
      </c>
      <c r="E12" s="34">
        <v>362399476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2026-09-19T00:06:15Z</dcterms:modified>
</cp:coreProperties>
</file>