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<sst xmlns="http://schemas.openxmlformats.org/spreadsheetml/2006/main" count="114" uniqueCount="102">
  <si>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ASM International NV (ASM.AS)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</si>
  <si>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</si>
  <si>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</si>
  <si>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</si>
  <si>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</si>
  <si>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</si>
  <si>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</si>
  <si>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</si>
  <si>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</si>
  <si>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</si>
  <si>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</si>
  <si>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</si>
  <si>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</si>
  <si>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</si>
  <si>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</si>
  <si>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</si>
  <si>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</si>
  <si>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</si>
  <si>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</si>
  <si>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</si>
  <si>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</si>
  <si>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</si>
  <si>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</si>
  <si>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</si>
  <si>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</si>
  <si>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</si>
  <si>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</si>
  <si>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</si>
  <si>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</si>
  <si>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</si>
  <si>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</si>
  <si>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</si>
  <si>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</si>
  <si>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</si>
  <si>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</si>
  <si>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</si>
  <si>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</si>
  <si>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</si>
  <si>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</si>
  <si>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</si>
  <si>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</si>
  <si>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</si>
  <si>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</si>
  <si>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</si>
  <si>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</si>
  <si>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</si>
  <si>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</si>
  <si>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</si>
  <si>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</si>
  <si>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</si>
  <si>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</si>
  <si>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</si>
  <si>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</si>
  <si>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</si>
  <si>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</si>
  <si>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</si>
  <si>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</si>
  <si>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</si>
  <si>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</si>
  <si>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</si>
  <si>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</si>
  <si>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</si>
  <si>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</si>
  <si>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</si>
  <si>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</si>
  <si>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</si>
  <si>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</si>
  <si>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</si>
  <si>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</si>
  <si>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</si>
  <si>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</si>
  <si>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</si>
  <si>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</si>
  <si>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</si>
  <si>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</si>
  <si>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</si>
  <si>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</si>
  <si>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</si>
  <si>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</si>
  <si>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</si>
  <si>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</si>
  <si>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</si>
  <si>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</si>
  <si>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</si>
  <si>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</si>
  <si>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</si>
  <si>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</si>
  <si>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</si>
  <si>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</si>
  <si>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</si>
  <si>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</si>
  <si>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</si>
  <si>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</si>
  <si>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</si>
  <si>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</si>
  <si>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</si>
  <si>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</si>
  <si>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</si>
  <si>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12.0% of revenue against depreciation of 6.6%.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</si>
  <si>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</si>
  <si>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32.6x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</si>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</sst>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0.09590050818225349</v>
      </c>
    </row>
    <row r="7" spans="1:2" x14ac:dyDescent="0.25">
      <c r="A7" t="s">
        <v>5</v>
      </c>
      <c r="B7" s="6">
        <v>0.26990855703174643</v>
      </c>
    </row>
    <row r="8" spans="1:2" x14ac:dyDescent="0.25">
      <c r="A8" t="s">
        <v>6</v>
      </c>
      <c r="B8" s="6">
        <v>0.21373452542416652</v>
      </c>
    </row>
    <row r="9" spans="1:2" x14ac:dyDescent="0.25">
      <c r="A9" t="s">
        <v>7</v>
      </c>
      <c r="B9" s="6">
        <v>0.0663290002519035</v>
      </c>
    </row>
    <row r="10" spans="1:2" x14ac:dyDescent="0.25">
      <c r="A10" t="s">
        <v>8</v>
      </c>
      <c r="B10" s="6">
        <v>0.11975265467333113</v>
      </c>
    </row>
    <row r="11" spans="1:2" x14ac:dyDescent="0.25">
      <c r="A11" t="s">
        <v>9</v>
      </c>
      <c r="B11" s="6">
        <v>-0.1981029883081771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0.1745897082611833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1.3483999999999998</v>
      </c>
      <c r="C19" s="8" t="s">
        <v>19</v>
      </c>
    </row>
    <row r="20" spans="1:2" x14ac:dyDescent="0.25">
      <c r="A20" t="s">
        <v>20</v>
      </c>
      <c r="B20" s="10">
        <f>B17+B19*B18</f>
        <v>0.12964599999999998</v>
      </c>
    </row>
    <row r="21" spans="1:3" x14ac:dyDescent="0.25">
      <c r="A21" t="s">
        <v>21</v>
      </c>
      <c r="B21" s="6">
        <v>0.0703125</v>
      </c>
      <c r="C21" s="8" t="s">
        <v>22</v>
      </c>
    </row>
    <row r="22" spans="1:2" x14ac:dyDescent="0.25">
      <c r="A22" t="s">
        <v>23</v>
      </c>
      <c r="B22" s="11">
        <v>39727300608</v>
      </c>
    </row>
    <row r="23" spans="1:2" x14ac:dyDescent="0.25">
      <c r="A23" t="s">
        <v>24</v>
      </c>
      <c r="B23" s="11">
        <v>13900000</v>
      </c>
    </row>
    <row r="24" spans="1:2" x14ac:dyDescent="0.25">
      <c r="A24" t="s">
        <v>25</v>
      </c>
      <c r="B24" s="10">
        <f>B22/(B22+B23)</f>
        <v>0.9996502370389585</v>
      </c>
    </row>
    <row r="25" spans="1:2" x14ac:dyDescent="0.25">
      <c r="A25" t="s">
        <v>26</v>
      </c>
      <c r="B25" s="10">
        <f>1-B24</f>
        <v>0.00034976296104149984</v>
      </c>
    </row>
    <row r="26" spans="1:2" x14ac:dyDescent="0.25">
      <c r="A26" t="s">
        <v>27</v>
      </c>
      <c r="B26" s="12">
        <f>B24*B20+B25*B21*(1-B8)</f>
        <v>0.1296199910285354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3173200000</v>
      </c>
      <c r="C29" s="8" t="s">
        <v>30</v>
      </c>
    </row>
    <row r="30" spans="1:2" x14ac:dyDescent="0.25">
      <c r="A30" t="s">
        <v>31</v>
      </c>
      <c r="B30" s="11">
        <v>-1012900000</v>
      </c>
    </row>
    <row r="31" spans="1:2" x14ac:dyDescent="0.25">
      <c r="A31" t="s">
        <v>32</v>
      </c>
      <c r="B31" s="13">
        <v>49224000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0.09590050818225349</v>
      </c>
      <c r="C5" s="10">
        <f>Assumptions!B6</f>
        <v>0.09590050818225349</v>
      </c>
      <c r="D5" s="10">
        <f>Assumptions!B6</f>
        <v>0.09590050818225349</v>
      </c>
      <c r="E5" s="10">
        <f>Assumptions!B6</f>
        <v>0.09590050818225349</v>
      </c>
      <c r="F5" s="10">
        <f>Assumptions!B6</f>
        <v>0.09590050818225349</v>
      </c>
    </row>
    <row r="6" spans="1:6" x14ac:dyDescent="0.25">
      <c r="A6" t="s">
        <v>43</v>
      </c>
      <c r="B6" s="18">
        <f>Assumptions!B29*(1+B5)</f>
        <v>3477511492.5639267</v>
      </c>
      <c r="C6" s="18">
        <f>B6*(1+C5)</f>
        <v>3811006611.9104342</v>
      </c>
      <c r="D6" s="18">
        <f>C6*(1+D5)</f>
        <v>4176484082.678573</v>
      </c>
      <c r="E6" s="18">
        <f>D6*(1+E5)</f>
        <v>4577011028.622541</v>
      </c>
      <c r="F6" s="18">
        <f>E6*(1+F5)</f>
        <v>5015948712.223222</v>
      </c>
    </row>
    <row r="7" spans="1:6" x14ac:dyDescent="0.25">
      <c r="A7" t="s">
        <v>5</v>
      </c>
      <c r="B7" s="10">
        <f>Assumptions!B7</f>
        <v>0.26990855703174643</v>
      </c>
      <c r="C7" s="10">
        <f>Assumptions!B7</f>
        <v>0.26990855703174643</v>
      </c>
      <c r="D7" s="10">
        <f>Assumptions!B7</f>
        <v>0.26990855703174643</v>
      </c>
      <c r="E7" s="10">
        <f>Assumptions!B7</f>
        <v>0.26990855703174643</v>
      </c>
      <c r="F7" s="10">
        <f>Assumptions!B7</f>
        <v>0.26990855703174643</v>
      </c>
    </row>
    <row r="8" spans="1:6" x14ac:dyDescent="0.25">
      <c r="A8" t="s">
        <v>44</v>
      </c>
      <c r="B8" s="18">
        <f>B6*B7</f>
        <v>938610109.0192443</v>
      </c>
      <c r="C8" s="18">
        <f>C6*C7</f>
        <v>1028623295.4591901</v>
      </c>
      <c r="D8" s="18">
        <f>D6*D7</f>
        <v>1127268792.2218308</v>
      </c>
      <c r="E8" s="18">
        <f>E6*E7</f>
        <v>1235374442.2538996</v>
      </c>
      <c r="F8" s="18">
        <f>F6*F7</f>
        <v>1353847479.0614166</v>
      </c>
    </row>
    <row r="9" spans="1:6" x14ac:dyDescent="0.25">
      <c r="A9" t="s">
        <v>45</v>
      </c>
      <c r="B9" s="18">
        <f>B8*(1-Assumptions!B8)</f>
        <v>737996722.809691</v>
      </c>
      <c r="C9" s="18">
        <f>C8*(1-Assumptions!B8)</f>
        <v>808770983.563978</v>
      </c>
      <c r="D9" s="18">
        <f>D8*(1-Assumptions!B8)</f>
        <v>886332531.8908244</v>
      </c>
      <c r="E9" s="18">
        <f>E8*(1-Assumptions!B8)</f>
        <v>971332272.117618</v>
      </c>
      <c r="F9" s="18">
        <f>F8*(1-Assumptions!B8)</f>
        <v>1064483530.6275206</v>
      </c>
    </row>
    <row r="10" spans="1:6" x14ac:dyDescent="0.25">
      <c r="A10" t="s">
        <v>46</v>
      </c>
      <c r="B10" s="18">
        <f>B6*Assumptions!B9</f>
        <v>230659860.66627</v>
      </c>
      <c r="C10" s="18">
        <f>C6*Assumptions!B9</f>
        <v>252780258.5214131</v>
      </c>
      <c r="D10" s="18">
        <f>D6*Assumptions!B9</f>
        <v>277022013.772058</v>
      </c>
      <c r="E10" s="18">
        <f>E6*Assumptions!B9</f>
        <v>303588565.67046964</v>
      </c>
      <c r="F10" s="18">
        <f>F6*Assumptions!B9</f>
        <v>332702863.3965891</v>
      </c>
    </row>
    <row r="11" spans="1:6" x14ac:dyDescent="0.25">
      <c r="A11" t="s">
        <v>47</v>
      </c>
      <c r="B11" s="18">
        <f>-B6*Assumptions!B10</f>
        <v>-416441232.8915482</v>
      </c>
      <c r="C11" s="18">
        <f>-C6*Assumptions!B10</f>
        <v>-456378158.7538919</v>
      </c>
      <c r="D11" s="18">
        <f>-D6*Assumptions!B10</f>
        <v>-500145056.1016713</v>
      </c>
      <c r="E11" s="18">
        <f>-E6*Assumptions!B10</f>
        <v>-548109221.1466633</v>
      </c>
      <c r="F11" s="18">
        <f>-F6*Assumptions!B10</f>
        <v>-600673173.9940075</v>
      </c>
    </row>
    <row r="12" spans="1:6" x14ac:dyDescent="0.25">
      <c r="A12" t="s">
        <v>48</v>
      </c>
      <c r="B12" s="18">
        <f>-(B6-Assumptions!B29)*Assumptions!B11</f>
        <v>60285016.0534355</v>
      </c>
      <c r="C12" s="18">
        <f>-(C6-B6)*Assumptions!B11</f>
        <v>66066379.72873531</v>
      </c>
      <c r="D12" s="18">
        <f>-(D6-C6)*Assumptions!B11</f>
        <v>72402179.11848275</v>
      </c>
      <c r="E12" s="18">
        <f>-(E6-D6)*Assumptions!B11</f>
        <v>79345584.88944784</v>
      </c>
      <c r="F12" s="18">
        <f>-(F6-E6)*Assumptions!B11</f>
        <v>86954866.80236392</v>
      </c>
    </row>
    <row r="13" spans="1:6" x14ac:dyDescent="0.25">
      <c r="A13" s="19" t="s">
        <v>49</v>
      </c>
      <c r="B13" s="20">
        <f>B9+B10+B11+B12</f>
        <v>612500366.6378483</v>
      </c>
      <c r="C13" s="20">
        <f>C9+C10+C11+C12</f>
        <v>671239463.0602344</v>
      </c>
      <c r="D13" s="20">
        <f>D9+D10+D11+D12</f>
        <v>735611668.6796938</v>
      </c>
      <c r="E13" s="20">
        <f>E9+E10+E11+E12</f>
        <v>806157201.5308721</v>
      </c>
      <c r="F13" s="20">
        <f>F9+F10+F11+F12</f>
        <v>883468086.832466</v>
      </c>
    </row>
    <row r="14" spans="1:6" x14ac:dyDescent="0.25">
      <c r="A14" t="s">
        <v>50</v>
      </c>
      <c r="B14" s="21">
        <f>1/(1+Assumptions!$B$26)^(1-0.5*Assumptions!$B$32)</f>
        <v>0.9408790863298433</v>
      </c>
      <c r="C14" s="21">
        <f>1/(1+Assumptions!$B$26)^(2-0.5*Assumptions!$B$32)</f>
        <v>0.8329164619981267</v>
      </c>
      <c r="D14" s="21">
        <f>1/(1+Assumptions!$B$26)^(3-0.5*Assumptions!$B$32)</f>
        <v>0.7373421757875799</v>
      </c>
      <c r="E14" s="21">
        <f>1/(1+Assumptions!$B$26)^(4-0.5*Assumptions!$B$32)</f>
        <v>0.6527347087016574</v>
      </c>
      <c r="F14" s="21">
        <f>1/(1+Assumptions!$B$26)^(5-0.5*Assumptions!$B$32)</f>
        <v>0.5778356561371872</v>
      </c>
    </row>
    <row r="15" spans="1:6" x14ac:dyDescent="0.25">
      <c r="A15" s="19" t="s">
        <v>51</v>
      </c>
      <c r="B15" s="20">
        <f>B13*B14</f>
        <v>576288785.3389127</v>
      </c>
      <c r="C15" s="20">
        <f>C13*C14</f>
        <v>559086398.7256527</v>
      </c>
      <c r="D15" s="20">
        <f>D13*D14</f>
        <v>542397508.3190178</v>
      </c>
      <c r="E15" s="20">
        <f>E13*E14</f>
        <v>526206786.1089971</v>
      </c>
      <c r="F15" s="20">
        <f>F13*F14</f>
        <v>510499361.6311035</v>
      </c>
    </row>
    <row r="17" spans="1:2" x14ac:dyDescent="0.25">
      <c r="A17" s="22" t="s">
        <v>52</v>
      </c>
      <c r="B17" s="23">
        <f>SUM(B15:F15)</f>
        <v>2714478840.123684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883468086.832466</v>
      </c>
    </row>
    <row r="5" spans="1:2" x14ac:dyDescent="0.25">
      <c r="A5" t="s">
        <v>56</v>
      </c>
      <c r="B5" s="18">
        <f>IF(Assumptions!$B$33=0,B4,B4-Forecast!F11-Forecast!F10-Forecast!F12)</f>
        <v>1064483530.6275206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0.14319286199046977</v>
      </c>
    </row>
    <row r="7" spans="1:2" x14ac:dyDescent="0.25">
      <c r="A7" t="s">
        <v>58</v>
      </c>
      <c r="B7" s="18">
        <f>-MAX(Forecast!F9,0)*B6</f>
        <v>-152426443.29227453</v>
      </c>
    </row>
    <row r="8" spans="1:2" x14ac:dyDescent="0.25">
      <c r="A8" t="s">
        <v>59</v>
      </c>
      <c r="B8" s="18">
        <f>IF(OR(Assumptions!$B$33=0,Assumptions!B12&lt;=0),B5,MAX(B5+B7,0))</f>
        <v>912057087.3352461</v>
      </c>
    </row>
    <row r="9" spans="1:2" x14ac:dyDescent="0.25">
      <c r="A9" t="s">
        <v>60</v>
      </c>
      <c r="B9" s="18">
        <f>B8*(1+Assumptions!B12)/(Assumptions!B26-Assumptions!B12)</f>
        <v>8935754107.105991</v>
      </c>
    </row>
    <row r="10" spans="1:2" x14ac:dyDescent="0.25">
      <c r="A10" t="s">
        <v>61</v>
      </c>
      <c r="B10" s="18">
        <f>B9/(1+Assumptions!B26)^(5-0.5*Assumptions!B32)</f>
        <v>5163397337.560156</v>
      </c>
    </row>
    <row r="11" spans="1:2" x14ac:dyDescent="0.25">
      <c r="A11" t="s">
        <v>62</v>
      </c>
      <c r="B11" s="18">
        <f>Forecast!B17+B10</f>
        <v>7877876177.68384</v>
      </c>
    </row>
    <row r="12" spans="1:2" x14ac:dyDescent="0.25">
      <c r="A12" t="s">
        <v>63</v>
      </c>
      <c r="B12" s="18">
        <f>-Assumptions!B30</f>
        <v>1012900000</v>
      </c>
    </row>
    <row r="13" spans="1:2" x14ac:dyDescent="0.25">
      <c r="A13" t="s">
        <v>64</v>
      </c>
      <c r="B13" s="18">
        <f>B11+B12</f>
        <v>8890776177.68384</v>
      </c>
    </row>
    <row r="14" spans="1:2" x14ac:dyDescent="0.25">
      <c r="A14" s="19" t="s">
        <v>65</v>
      </c>
      <c r="B14" s="24">
        <f>B13/Assumptions!B31</f>
        <v>180.61872618405332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1686550342.4580057</v>
      </c>
    </row>
    <row r="18" spans="1:2" x14ac:dyDescent="0.25">
      <c r="A18" t="s">
        <v>60</v>
      </c>
      <c r="B18" s="18">
        <f>B17*Assumptions!B13</f>
        <v>33731006849.160114</v>
      </c>
    </row>
    <row r="19" spans="1:2" x14ac:dyDescent="0.25">
      <c r="A19" t="s">
        <v>61</v>
      </c>
      <c r="B19" s="18">
        <f>B18/(1+Assumptions!B26)^(5-0.5*Assumptions!B32)</f>
        <v>19490978474.85239</v>
      </c>
    </row>
    <row r="20" spans="1:2" x14ac:dyDescent="0.25">
      <c r="A20" t="s">
        <v>62</v>
      </c>
      <c r="B20" s="18">
        <f>Forecast!B17+B19</f>
        <v>22205457314.976074</v>
      </c>
    </row>
    <row r="21" spans="1:2" x14ac:dyDescent="0.25">
      <c r="A21" t="s">
        <v>63</v>
      </c>
      <c r="B21" s="18">
        <f>-Assumptions!B30</f>
        <v>1012900000</v>
      </c>
    </row>
    <row r="22" spans="1:2" x14ac:dyDescent="0.25">
      <c r="A22" t="s">
        <v>64</v>
      </c>
      <c r="B22" s="18">
        <f>B20+B21</f>
        <v>23218357314.976074</v>
      </c>
    </row>
    <row r="23" spans="1:2" x14ac:dyDescent="0.25">
      <c r="A23" s="19" t="s">
        <v>65</v>
      </c>
      <c r="B23" s="25">
        <f>B22/Assumptions!B31</f>
        <v>471.6877400247049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813.8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180.61872618405332</v>
      </c>
    </row>
    <row r="29" spans="1:2" x14ac:dyDescent="0.25">
      <c r="A29" s="19" t="s">
        <v>73</v>
      </c>
      <c r="B29" s="12">
        <f>B28/B26-1</f>
        <v>-0.7780551410861964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0.10962</v>
      </c>
      <c r="B5" s="31">
        <v>210.98178567359287</v>
      </c>
      <c r="C5" s="31">
        <v>214.66666191492848</v>
      </c>
      <c r="D5" s="31">
        <v>218.74116911406182</v>
      </c>
      <c r="E5" s="31">
        <v>223.27871174684037</v>
      </c>
      <c r="F5" s="31">
        <v>228.37236849866576</v>
      </c>
    </row>
    <row r="6" spans="1:6" x14ac:dyDescent="0.25">
      <c r="A6" s="30">
        <v>0.11962</v>
      </c>
      <c r="B6" s="31">
        <v>192.27694548405907</v>
      </c>
      <c r="C6" s="31">
        <v>194.84894113892065</v>
      </c>
      <c r="D6" s="31">
        <v>197.65339526518625</v>
      </c>
      <c r="E6" s="31">
        <v>200.7292152169182</v>
      </c>
      <c r="F6" s="31">
        <v>204.12450413027807</v>
      </c>
    </row>
    <row r="7" spans="1:6" x14ac:dyDescent="0.25">
      <c r="A7" s="30">
        <v>0.12962</v>
      </c>
      <c r="B7" s="31">
        <v>176.8710137858433</v>
      </c>
      <c r="C7" s="31">
        <v>178.6757157733188</v>
      </c>
      <c r="D7" s="32">
        <v>180.6187123716611</v>
      </c>
      <c r="E7" s="31">
        <v>182.72082690111714</v>
      </c>
      <c r="F7" s="31">
        <v>185.00728414467898</v>
      </c>
    </row>
    <row r="8" spans="1:6" x14ac:dyDescent="0.25">
      <c r="A8" s="30">
        <v>0.13962</v>
      </c>
      <c r="B8" s="31">
        <v>163.9681693030662</v>
      </c>
      <c r="C8" s="31">
        <v>165.23162164159513</v>
      </c>
      <c r="D8" s="31">
        <v>166.5752959369329</v>
      </c>
      <c r="E8" s="31">
        <v>168.01016946833636</v>
      </c>
      <c r="F8" s="31">
        <v>169.54931801998623</v>
      </c>
    </row>
    <row r="9" spans="1:6" x14ac:dyDescent="0.25">
      <c r="A9" s="30">
        <v>0.14962</v>
      </c>
      <c r="B9" s="31">
        <v>153.00914730109875</v>
      </c>
      <c r="C9" s="31">
        <v>153.8838436155962</v>
      </c>
      <c r="D9" s="31">
        <v>154.8021932662996</v>
      </c>
      <c r="E9" s="31">
        <v>155.7696702545725</v>
      </c>
      <c r="F9" s="31">
        <v>156.79270373818426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3173200000</v>
      </c>
      <c r="C5" s="18">
        <v>2932700000</v>
      </c>
      <c r="D5" s="18">
        <v>2634331000</v>
      </c>
      <c r="E5" s="18">
        <v>2410927000</v>
      </c>
      <c r="F5" s="8" t="s">
        <v>84</v>
      </c>
    </row>
    <row r="6" spans="1:6" x14ac:dyDescent="0.25">
      <c r="A6" t="s">
        <v>44</v>
      </c>
      <c r="B6" s="18">
        <v>938100000</v>
      </c>
      <c r="C6" s="18">
        <v>802200000</v>
      </c>
      <c r="D6" s="18">
        <v>653741000</v>
      </c>
      <c r="E6" s="18">
        <v>632395000</v>
      </c>
      <c r="F6" s="8" t="s">
        <v>85</v>
      </c>
    </row>
    <row r="7" spans="1:6" x14ac:dyDescent="0.25">
      <c r="A7" t="s">
        <v>86</v>
      </c>
      <c r="B7" s="18">
        <v>251000000</v>
      </c>
      <c r="C7" s="18">
        <v>195800000</v>
      </c>
      <c r="D7" s="18">
        <v>180896000</v>
      </c>
      <c r="E7" s="18">
        <v>122434000</v>
      </c>
      <c r="F7" s="8" t="s">
        <v>87</v>
      </c>
    </row>
    <row r="8" spans="1:6" x14ac:dyDescent="0.25">
      <c r="A8" t="s">
        <v>88</v>
      </c>
      <c r="B8" s="18">
        <v>468300000</v>
      </c>
      <c r="C8" s="18">
        <v>364700000</v>
      </c>
      <c r="D8" s="18">
        <v>317712000</v>
      </c>
      <c r="E8" s="18">
        <v>208473000</v>
      </c>
      <c r="F8" s="8" t="s">
        <v>89</v>
      </c>
    </row>
    <row r="9" spans="1:6" x14ac:dyDescent="0.25">
      <c r="A9" t="s">
        <v>90</v>
      </c>
      <c r="B9" s="18">
        <v>-74900000</v>
      </c>
      <c r="C9" s="18">
        <v>21500000</v>
      </c>
      <c r="D9" s="18">
        <v>-44257000</v>
      </c>
      <c r="E9" s="18">
        <v>159464000</v>
      </c>
      <c r="F9" s="8" t="s">
        <v>91</v>
      </c>
    </row>
    <row r="10" spans="1:6" x14ac:dyDescent="0.25">
      <c r="A10" t="s">
        <v>92</v>
      </c>
      <c r="B10" s="18">
        <v>13900000</v>
      </c>
      <c r="C10" s="18">
        <v>11700000</v>
      </c>
      <c r="D10" s="18">
        <v>33558000</v>
      </c>
      <c r="E10" s="18">
        <v>28124000</v>
      </c>
      <c r="F10" s="8" t="s">
        <v>93</v>
      </c>
    </row>
    <row r="11" spans="1:6" x14ac:dyDescent="0.25">
      <c r="A11" t="s">
        <v>94</v>
      </c>
      <c r="B11" s="18">
        <v>1026800000</v>
      </c>
      <c r="C11" s="18">
        <v>927000000</v>
      </c>
      <c r="D11" s="18">
        <v>636764000</v>
      </c>
      <c r="E11" s="18">
        <v>419015000</v>
      </c>
      <c r="F11" s="8" t="s">
        <v>95</v>
      </c>
    </row>
    <row r="12" spans="1:6" x14ac:dyDescent="0.25">
      <c r="A12" t="s">
        <v>32</v>
      </c>
      <c r="B12" s="34">
        <v>49224000</v>
      </c>
      <c r="C12" s="34">
        <v>49386000</v>
      </c>
      <c r="D12" s="34">
        <v>49555000</v>
      </c>
      <c r="E12" s="34">
        <v>49097000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2026-09-19T00:06:15Z</dcterms:modified>
</cp:coreProperties>
</file>