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<sst xmlns="http://schemas.openxmlformats.org/spreadsheetml/2006/main" count="114" uniqueCount="102">
  <si>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ASML Holding N.V. (ASML.AS)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</si>
  <si>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</si>
  <si>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</si>
  <si>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</si>
  <si>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</si>
  <si>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</si>
  <si>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</si>
  <si>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</si>
  <si>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</si>
  <si>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</si>
  <si>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</si>
  <si>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</si>
  <si>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</si>
  <si>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</si>
  <si>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</si>
  <si>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</si>
  <si>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</si>
  <si>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</si>
  <si>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</si>
  <si>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</si>
  <si>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</si>
  <si>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</si>
  <si>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</si>
  <si>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</si>
  <si>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</si>
  <si>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</si>
  <si>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</si>
  <si>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</si>
  <si>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</si>
  <si>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</si>
  <si>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</si>
  <si>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</si>
  <si>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</si>
  <si>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</si>
  <si>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</si>
  <si>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</si>
  <si>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</si>
  <si>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</si>
  <si>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</si>
  <si>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</si>
  <si>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</si>
  <si>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</si>
  <si>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</si>
  <si>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</si>
  <si>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</si>
  <si>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</si>
  <si>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</si>
  <si>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</si>
  <si>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</si>
  <si>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</si>
  <si>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</si>
  <si>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</si>
  <si>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</si>
  <si>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</si>
  <si>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</si>
  <si>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</si>
  <si>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</si>
  <si>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</si>
  <si>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</si>
  <si>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</si>
  <si>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</si>
  <si>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</si>
  <si>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</si>
  <si>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</si>
  <si>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</si>
  <si>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</si>
  <si>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</si>
  <si>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</si>
  <si>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</si>
  <si>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</si>
  <si>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</si>
  <si>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</si>
  <si>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</si>
  <si>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</si>
  <si>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</si>
  <si>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</si>
  <si>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</si>
  <si>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</si>
  <si>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</si>
  <si>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</si>
  <si>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</si>
  <si>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</si>
  <si>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</si>
  <si>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</si>
  <si>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</si>
  <si>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</si>
  <si>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</si>
  <si>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</si>
  <si>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</si>
  <si>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</si>
  <si>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</si>
  <si>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</si>
  <si>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</si>
  <si>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</si>
  <si>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</si>
  <si>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</si>
  <si>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</si>
  <si>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</si>
  <si>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6.6% of revenue against depreciation of 3.0%.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</si>
  <si>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</si>
  <si>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44.3x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</si>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</sst>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0.15551134263329014</v>
      </c>
    </row>
    <row r="7" spans="1:2" x14ac:dyDescent="0.25">
      <c r="A7" t="s">
        <v>5</v>
      </c>
      <c r="B7" s="6">
        <v>0.3250819383860074</v>
      </c>
    </row>
    <row r="8" spans="1:2" x14ac:dyDescent="0.25">
      <c r="A8" t="s">
        <v>6</v>
      </c>
      <c r="B8" s="6">
        <v>0.16729320304465567</v>
      </c>
    </row>
    <row r="9" spans="1:2" x14ac:dyDescent="0.25">
      <c r="A9" t="s">
        <v>7</v>
      </c>
      <c r="B9" s="6">
        <v>0.02957851584846048</v>
      </c>
    </row>
    <row r="10" spans="1:2" x14ac:dyDescent="0.25">
      <c r="A10" t="s">
        <v>8</v>
      </c>
      <c r="B10" s="6">
        <v>0.06640993156944554</v>
      </c>
    </row>
    <row r="11" spans="1:2" x14ac:dyDescent="0.25">
      <c r="A11" t="s">
        <v>9</v>
      </c>
      <c r="B11" s="6">
        <v>-0.23306239215330124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0.4030970639058465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1.24321</v>
      </c>
      <c r="C19" s="8" t="s">
        <v>19</v>
      </c>
    </row>
    <row r="20" spans="1:2" x14ac:dyDescent="0.25">
      <c r="A20" t="s">
        <v>20</v>
      </c>
      <c r="B20" s="10">
        <f>B17+B19*B18</f>
        <v>0.12280864999999999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555408621568</v>
      </c>
    </row>
    <row r="23" spans="1:2" x14ac:dyDescent="0.25">
      <c r="A23" t="s">
        <v>24</v>
      </c>
      <c r="B23" s="11">
        <v>4390900000</v>
      </c>
    </row>
    <row r="24" spans="1:2" x14ac:dyDescent="0.25">
      <c r="A24" t="s">
        <v>25</v>
      </c>
      <c r="B24" s="10">
        <f>B22/(B22+B23)</f>
        <v>0.9921562991199044</v>
      </c>
    </row>
    <row r="25" spans="1:2" x14ac:dyDescent="0.25">
      <c r="A25" t="s">
        <v>26</v>
      </c>
      <c r="B25" s="10">
        <f>1-B24</f>
        <v>0.007843700880095561</v>
      </c>
    </row>
    <row r="26" spans="1:2" x14ac:dyDescent="0.25">
      <c r="A26" t="s">
        <v>27</v>
      </c>
      <c r="B26" s="12">
        <f>B24*B20+B25*B21*(1-B8)</f>
        <v>0.12211969881142953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32667300000</v>
      </c>
      <c r="C29" s="8" t="s">
        <v>30</v>
      </c>
    </row>
    <row r="30" spans="1:2" x14ac:dyDescent="0.25">
      <c r="A30" t="s">
        <v>31</v>
      </c>
      <c r="B30" s="11">
        <v>-8931000000</v>
      </c>
    </row>
    <row r="31" spans="1:2" x14ac:dyDescent="0.25">
      <c r="A31" t="s">
        <v>32</v>
      </c>
      <c r="B31" s="13">
        <v>388900000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0.15551134263329014</v>
      </c>
      <c r="C5" s="10">
        <f>Assumptions!B6</f>
        <v>0.15551134263329014</v>
      </c>
      <c r="D5" s="10">
        <f>Assumptions!B6</f>
        <v>0.15551134263329014</v>
      </c>
      <c r="E5" s="10">
        <f>Assumptions!B6</f>
        <v>0.15551134263329014</v>
      </c>
      <c r="F5" s="10">
        <f>Assumptions!B6</f>
        <v>0.15551134263329014</v>
      </c>
    </row>
    <row r="6" spans="1:6" x14ac:dyDescent="0.25">
      <c r="A6" t="s">
        <v>43</v>
      </c>
      <c r="B6" s="18">
        <f>Assumptions!B29*(1+B5)</f>
        <v>37747435683.204475</v>
      </c>
      <c r="C6" s="18">
        <f>B6*(1+C5)</f>
        <v>43617590087.26337</v>
      </c>
      <c r="D6" s="18">
        <f>C6*(1+D5)</f>
        <v>50400620084.16218</v>
      </c>
      <c r="E6" s="18">
        <f>D6*(1+E5)</f>
        <v>58238488183.00061</v>
      </c>
      <c r="F6" s="18">
        <f>E6*(1+F5)</f>
        <v>67295233673.27203</v>
      </c>
    </row>
    <row r="7" spans="1:6" x14ac:dyDescent="0.25">
      <c r="A7" t="s">
        <v>5</v>
      </c>
      <c r="B7" s="10">
        <f>Assumptions!B7</f>
        <v>0.3250819383860074</v>
      </c>
      <c r="C7" s="10">
        <f>Assumptions!B7</f>
        <v>0.3250819383860074</v>
      </c>
      <c r="D7" s="10">
        <f>Assumptions!B7</f>
        <v>0.3250819383860074</v>
      </c>
      <c r="E7" s="10">
        <f>Assumptions!B7</f>
        <v>0.3250819383860074</v>
      </c>
      <c r="F7" s="10">
        <f>Assumptions!B7</f>
        <v>0.3250819383860074</v>
      </c>
    </row>
    <row r="8" spans="1:6" x14ac:dyDescent="0.25">
      <c r="A8" t="s">
        <v>44</v>
      </c>
      <c r="B8" s="18">
        <f>B6*B7</f>
        <v>12271009560.997255</v>
      </c>
      <c r="C8" s="18">
        <f>C6*C7</f>
        <v>14179290733.293877</v>
      </c>
      <c r="D8" s="18">
        <f>D6*D7</f>
        <v>16384331272.816177</v>
      </c>
      <c r="E8" s="18">
        <f>E6*E7</f>
        <v>18932280627.200424</v>
      </c>
      <c r="F8" s="18">
        <f>F6*F7</f>
        <v>21876465006.64659</v>
      </c>
    </row>
    <row r="9" spans="1:6" x14ac:dyDescent="0.25">
      <c r="A9" t="s">
        <v>45</v>
      </c>
      <c r="B9" s="18">
        <f>B8*(1-Assumptions!B8)</f>
        <v>10218153066.94643</v>
      </c>
      <c r="C9" s="18">
        <f>C8*(1-Assumptions!B8)</f>
        <v>11807191769.61974</v>
      </c>
      <c r="D9" s="18">
        <f>D8*(1-Assumptions!B8)</f>
        <v>13643344014.44204</v>
      </c>
      <c r="E9" s="18">
        <f>E8*(1-Assumptions!B8)</f>
        <v>15765038760.135782</v>
      </c>
      <c r="F9" s="18">
        <f>F8*(1-Assumptions!B8)</f>
        <v>18216681104.390358</v>
      </c>
    </row>
    <row r="10" spans="1:6" x14ac:dyDescent="0.25">
      <c r="A10" t="s">
        <v>46</v>
      </c>
      <c r="B10" s="18">
        <f>B6*Assumptions!B9</f>
        <v>1116513124.5944061</v>
      </c>
      <c r="C10" s="18">
        <f>C6*Assumptions!B9</f>
        <v>1290143579.667772</v>
      </c>
      <c r="D10" s="18">
        <f>D6*Assumptions!B9</f>
        <v>1490775539.9316266</v>
      </c>
      <c r="E10" s="18">
        <f>E6*Assumptions!B9</f>
        <v>1722608045.7112617</v>
      </c>
      <c r="F10" s="18">
        <f>F6*Assumptions!B9</f>
        <v>1990493135.7307281</v>
      </c>
    </row>
    <row r="11" spans="1:6" x14ac:dyDescent="0.25">
      <c r="A11" t="s">
        <v>47</v>
      </c>
      <c r="B11" s="18">
        <f>-B6*Assumptions!B10</f>
        <v>-2506804620.643656</v>
      </c>
      <c r="C11" s="18">
        <f>-C6*Assumptions!B10</f>
        <v>-2896641172.9192863</v>
      </c>
      <c r="D11" s="18">
        <f>-D6*Assumptions!B10</f>
        <v>-3347101730.8468328</v>
      </c>
      <c r="E11" s="18">
        <f>-E6*Assumptions!B10</f>
        <v>-3867614014.9410334</v>
      </c>
      <c r="F11" s="18">
        <f>-F6*Assumptions!B10</f>
        <v>-4469071863.191843</v>
      </c>
    </row>
    <row r="12" spans="1:6" x14ac:dyDescent="0.25">
      <c r="A12" t="s">
        <v>48</v>
      </c>
      <c r="B12" s="18">
        <f>-(B6-Assumptions!B29)*Assumptions!B11</f>
        <v>1183988574.7909803</v>
      </c>
      <c r="C12" s="18">
        <f>-(C6-B6)*Assumptions!B11</f>
        <v>1368112227.7192016</v>
      </c>
      <c r="D12" s="18">
        <f>-(D6-C6)*Assumptions!B11</f>
        <v>1580869197.1248364</v>
      </c>
      <c r="E12" s="18">
        <f>-(E6-D6)*Assumptions!B11</f>
        <v>1826712288.4973323</v>
      </c>
      <c r="F12" s="18">
        <f>-(F6-E6)*Assumptions!B11</f>
        <v>2110786769.086281</v>
      </c>
    </row>
    <row r="13" spans="1:6" x14ac:dyDescent="0.25">
      <c r="A13" s="19" t="s">
        <v>49</v>
      </c>
      <c r="B13" s="20">
        <f>B9+B10+B11+B12</f>
        <v>10011850145.68816</v>
      </c>
      <c r="C13" s="20">
        <f>C9+C10+C11+C12</f>
        <v>11568806404.087427</v>
      </c>
      <c r="D13" s="20">
        <f>D9+D10+D11+D12</f>
        <v>13367887020.65167</v>
      </c>
      <c r="E13" s="20">
        <f>E9+E10+E11+E12</f>
        <v>15446745079.403345</v>
      </c>
      <c r="F13" s="20">
        <f>F9+F10+F11+F12</f>
        <v>17848889146.015526</v>
      </c>
    </row>
    <row r="14" spans="1:6" x14ac:dyDescent="0.25">
      <c r="A14" t="s">
        <v>50</v>
      </c>
      <c r="B14" s="21">
        <f>1/(1+Assumptions!$B$26)^(1-0.5*Assumptions!$B$32)</f>
        <v>0.9440182858490478</v>
      </c>
      <c r="C14" s="21">
        <f>1/(1+Assumptions!$B$26)^(2-0.5*Assumptions!$B$32)</f>
        <v>0.8412812704820795</v>
      </c>
      <c r="D14" s="21">
        <f>1/(1+Assumptions!$B$26)^(3-0.5*Assumptions!$B$32)</f>
        <v>0.7497250706615173</v>
      </c>
      <c r="E14" s="21">
        <f>1/(1+Assumptions!$B$26)^(4-0.5*Assumptions!$B$32)</f>
        <v>0.6681328840903874</v>
      </c>
      <c r="F14" s="21">
        <f>1/(1+Assumptions!$B$26)^(5-0.5*Assumptions!$B$32)</f>
        <v>0.5954203324280704</v>
      </c>
    </row>
    <row r="15" spans="1:6" x14ac:dyDescent="0.25">
      <c r="A15" s="19" t="s">
        <v>51</v>
      </c>
      <c r="B15" s="20">
        <f>B13*B14</f>
        <v>9451369612.710075</v>
      </c>
      <c r="C15" s="20">
        <f>C13*C14</f>
        <v>9732620149.591888</v>
      </c>
      <c r="D15" s="20">
        <f>D13*D14</f>
        <v>10022240041.153254</v>
      </c>
      <c r="E15" s="20">
        <f>E13*E14</f>
        <v>10320478339.710756</v>
      </c>
      <c r="F15" s="20">
        <f>F13*F14</f>
        <v>10627591508.792341</v>
      </c>
    </row>
    <row r="17" spans="1:2" x14ac:dyDescent="0.25">
      <c r="A17" s="22" t="s">
        <v>52</v>
      </c>
      <c r="B17" s="23">
        <f>SUM(B15:F15)</f>
        <v>50154299651.95831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17848889146.015526</v>
      </c>
    </row>
    <row r="5" spans="1:2" x14ac:dyDescent="0.25">
      <c r="A5" t="s">
        <v>56</v>
      </c>
      <c r="B5" s="18">
        <f>IF(Assumptions!$B$33=0,B4,B4-Forecast!F11-Forecast!F10-Forecast!F12)</f>
        <v>18216681104.390358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0.062019801776178114</v>
      </c>
    </row>
    <row r="7" spans="1:2" x14ac:dyDescent="0.25">
      <c r="A7" t="s">
        <v>58</v>
      </c>
      <c r="B7" s="18">
        <f>-MAX(Forecast!F9,0)*B6</f>
        <v>-1129794951.1141393</v>
      </c>
    </row>
    <row r="8" spans="1:2" x14ac:dyDescent="0.25">
      <c r="A8" t="s">
        <v>59</v>
      </c>
      <c r="B8" s="18">
        <f>IF(OR(Assumptions!$B$33=0,Assumptions!B12&lt;=0),B5,MAX(B5+B7,0))</f>
        <v>17086886153.276218</v>
      </c>
    </row>
    <row r="9" spans="1:2" x14ac:dyDescent="0.25">
      <c r="A9" t="s">
        <v>60</v>
      </c>
      <c r="B9" s="18">
        <f>B8*(1+Assumptions!B12)/(Assumptions!B26-Assumptions!B12)</f>
        <v>180334767523.4654</v>
      </c>
    </row>
    <row r="10" spans="1:2" x14ac:dyDescent="0.25">
      <c r="A10" t="s">
        <v>61</v>
      </c>
      <c r="B10" s="18">
        <f>B9/(1+Assumptions!B26)^(5-0.5*Assumptions!B32)</f>
        <v>107374987227.16055</v>
      </c>
    </row>
    <row r="11" spans="1:2" x14ac:dyDescent="0.25">
      <c r="A11" t="s">
        <v>62</v>
      </c>
      <c r="B11" s="18">
        <f>Forecast!B17+B10</f>
        <v>157529286879.11887</v>
      </c>
    </row>
    <row r="12" spans="1:2" x14ac:dyDescent="0.25">
      <c r="A12" t="s">
        <v>63</v>
      </c>
      <c r="B12" s="18">
        <f>-Assumptions!B30</f>
        <v>8931000000</v>
      </c>
    </row>
    <row r="13" spans="1:2" x14ac:dyDescent="0.25">
      <c r="A13" t="s">
        <v>64</v>
      </c>
      <c r="B13" s="18">
        <f>B11+B12</f>
        <v>166460286879.11887</v>
      </c>
    </row>
    <row r="14" spans="1:2" x14ac:dyDescent="0.25">
      <c r="A14" s="19" t="s">
        <v>65</v>
      </c>
      <c r="B14" s="24">
        <f>B13/Assumptions!B31</f>
        <v>428.02850830321125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23866958142.37732</v>
      </c>
    </row>
    <row r="18" spans="1:2" x14ac:dyDescent="0.25">
      <c r="A18" t="s">
        <v>60</v>
      </c>
      <c r="B18" s="18">
        <f>B17*Assumptions!B13</f>
        <v>477339162847.5464</v>
      </c>
    </row>
    <row r="19" spans="1:2" x14ac:dyDescent="0.25">
      <c r="A19" t="s">
        <v>61</v>
      </c>
      <c r="B19" s="18">
        <f>B18/(1+Assumptions!B26)^(5-0.5*Assumptions!B32)</f>
        <v>284217443023.62286</v>
      </c>
    </row>
    <row r="20" spans="1:2" x14ac:dyDescent="0.25">
      <c r="A20" t="s">
        <v>62</v>
      </c>
      <c r="B20" s="18">
        <f>Forecast!B17+B19</f>
        <v>334371742675.5812</v>
      </c>
    </row>
    <row r="21" spans="1:2" x14ac:dyDescent="0.25">
      <c r="A21" t="s">
        <v>63</v>
      </c>
      <c r="B21" s="18">
        <f>-Assumptions!B30</f>
        <v>8931000000</v>
      </c>
    </row>
    <row r="22" spans="1:2" x14ac:dyDescent="0.25">
      <c r="A22" t="s">
        <v>64</v>
      </c>
      <c r="B22" s="18">
        <f>B20+B21</f>
        <v>343302742675.5812</v>
      </c>
    </row>
    <row r="23" spans="1:2" x14ac:dyDescent="0.25">
      <c r="A23" s="19" t="s">
        <v>65</v>
      </c>
      <c r="B23" s="25">
        <f>B22/Assumptions!B31</f>
        <v>882.753259644076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428.02850830321125</v>
      </c>
    </row>
    <row r="29" spans="1:2" x14ac:dyDescent="0.25">
      <c r="A29" s="19" t="s">
        <v>73</v>
      </c>
      <c r="B29" s="12">
        <f>B28/B26-1</f>
        <v>-0.7039913497211541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0.10212</v>
      </c>
      <c r="B5" s="31">
        <v>497.2647691903221</v>
      </c>
      <c r="C5" s="31">
        <v>515.0321884682609</v>
      </c>
      <c r="D5" s="31">
        <v>535.054834228485</v>
      </c>
      <c r="E5" s="31">
        <v>557.8017635596558</v>
      </c>
      <c r="F5" s="31">
        <v>583.8818002633855</v>
      </c>
    </row>
    <row r="6" spans="1:6" x14ac:dyDescent="0.25">
      <c r="A6" s="30">
        <v>0.11212</v>
      </c>
      <c r="B6" s="31">
        <v>447.0985444250408</v>
      </c>
      <c r="C6" s="31">
        <v>460.486095141379</v>
      </c>
      <c r="D6" s="31">
        <v>475.36898324209466</v>
      </c>
      <c r="E6" s="31">
        <v>492.0203463400185</v>
      </c>
      <c r="F6" s="31">
        <v>510.78415649114254</v>
      </c>
    </row>
    <row r="7" spans="1:6" x14ac:dyDescent="0.25">
      <c r="A7" s="30">
        <v>0.12212</v>
      </c>
      <c r="B7" s="31">
        <v>406.36642278062277</v>
      </c>
      <c r="C7" s="31">
        <v>416.68348657882285</v>
      </c>
      <c r="D7" s="32">
        <v>428.0272300121633</v>
      </c>
      <c r="E7" s="31">
        <v>440.56482844459447</v>
      </c>
      <c r="F7" s="31">
        <v>454.501835422792</v>
      </c>
    </row>
    <row r="8" spans="1:6" x14ac:dyDescent="0.25">
      <c r="A8" s="30">
        <v>0.13212</v>
      </c>
      <c r="B8" s="31">
        <v>372.64921145657314</v>
      </c>
      <c r="C8" s="31">
        <v>380.74742693123505</v>
      </c>
      <c r="D8" s="31">
        <v>389.5706054670911</v>
      </c>
      <c r="E8" s="31">
        <v>399.22523400027427</v>
      </c>
      <c r="F8" s="31">
        <v>409.8397284076371</v>
      </c>
    </row>
    <row r="9" spans="1:6" x14ac:dyDescent="0.25">
      <c r="A9" s="30">
        <v>0.14212</v>
      </c>
      <c r="B9" s="31">
        <v>344.2890733377357</v>
      </c>
      <c r="C9" s="31">
        <v>350.74341280026056</v>
      </c>
      <c r="D9" s="31">
        <v>357.72155914603786</v>
      </c>
      <c r="E9" s="31">
        <v>365.2935899994772</v>
      </c>
      <c r="F9" s="31">
        <v>373.5426669327866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32667300000</v>
      </c>
      <c r="C5" s="18">
        <v>28262900000</v>
      </c>
      <c r="D5" s="18">
        <v>27558500000</v>
      </c>
      <c r="E5" s="18">
        <v>21173400000</v>
      </c>
      <c r="F5" s="8" t="s">
        <v>84</v>
      </c>
    </row>
    <row r="6" spans="1:6" x14ac:dyDescent="0.25">
      <c r="A6" t="s">
        <v>44</v>
      </c>
      <c r="B6" s="18">
        <v>11301400000</v>
      </c>
      <c r="C6" s="18">
        <v>9022600000</v>
      </c>
      <c r="D6" s="18">
        <v>9042300000</v>
      </c>
      <c r="E6" s="18">
        <v>6500700000</v>
      </c>
      <c r="F6" s="8" t="s">
        <v>85</v>
      </c>
    </row>
    <row r="7" spans="1:6" x14ac:dyDescent="0.25">
      <c r="A7" t="s">
        <v>86</v>
      </c>
      <c r="B7" s="18">
        <v>1025900000</v>
      </c>
      <c r="C7" s="18">
        <v>918600000</v>
      </c>
      <c r="D7" s="18">
        <v>739800000</v>
      </c>
      <c r="E7" s="18">
        <v>583600000</v>
      </c>
      <c r="F7" s="8" t="s">
        <v>87</v>
      </c>
    </row>
    <row r="8" spans="1:6" x14ac:dyDescent="0.25">
      <c r="A8" t="s">
        <v>88</v>
      </c>
      <c r="B8" s="18">
        <v>1631200000</v>
      </c>
      <c r="C8" s="18">
        <v>2083100000</v>
      </c>
      <c r="D8" s="18">
        <v>2196200000</v>
      </c>
      <c r="E8" s="18">
        <v>1319300000</v>
      </c>
      <c r="F8" s="8" t="s">
        <v>89</v>
      </c>
    </row>
    <row r="9" spans="1:6" x14ac:dyDescent="0.25">
      <c r="A9" t="s">
        <v>90</v>
      </c>
      <c r="B9" s="18">
        <v>-1026500000</v>
      </c>
      <c r="C9" s="18">
        <v>-2053300000</v>
      </c>
      <c r="D9" s="18">
        <v>3663600000</v>
      </c>
      <c r="E9" s="18">
        <v>-2441200000</v>
      </c>
      <c r="F9" s="8" t="s">
        <v>91</v>
      </c>
    </row>
    <row r="10" spans="1:6" x14ac:dyDescent="0.25">
      <c r="A10" t="s">
        <v>92</v>
      </c>
      <c r="B10" s="18">
        <v>4390900000</v>
      </c>
      <c r="C10" s="18">
        <v>4687600000</v>
      </c>
      <c r="D10" s="18">
        <v>4631600000</v>
      </c>
      <c r="E10" s="18">
        <v>4260400000</v>
      </c>
      <c r="F10" s="8" t="s">
        <v>93</v>
      </c>
    </row>
    <row r="11" spans="1:6" x14ac:dyDescent="0.25">
      <c r="A11" t="s">
        <v>94</v>
      </c>
      <c r="B11" s="18">
        <v>13321900000</v>
      </c>
      <c r="C11" s="18">
        <v>12741300000</v>
      </c>
      <c r="D11" s="18">
        <v>7010100000</v>
      </c>
      <c r="E11" s="18">
        <v>7376000000</v>
      </c>
      <c r="F11" s="8" t="s">
        <v>95</v>
      </c>
    </row>
    <row r="12" spans="1:6" x14ac:dyDescent="0.25">
      <c r="A12" t="s">
        <v>32</v>
      </c>
      <c r="B12" s="34">
        <v>388900000</v>
      </c>
      <c r="C12" s="34">
        <v>393600000</v>
      </c>
      <c r="D12" s="34">
        <v>394100000</v>
      </c>
      <c r="E12" s="34">
        <v>398000000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2026-09-19T00:06:08Z</dcterms:modified>
</cp:coreProperties>
</file>