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<sst xmlns="http://schemas.openxmlformats.org/spreadsheetml/2006/main" count="117" uniqueCount="105">
  <si>
    <t>ASR Nederland N.V. (ASRNL.AS)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</si>
  <si>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</si>
  <si>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</si>
  <si>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</si>
  <si>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</si>
  <si>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</si>
  <si>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</si>
  <si>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</si>
  <si>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</si>
  <si>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</si>
  <si>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</si>
  <si>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</si>
  <si>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</si>
  <si>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</si>
  <si>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</si>
  <si>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</si>
  <si>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</si>
  <si>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</si>
  <si>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</si>
  <si>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</si>
  <si>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</si>
  <si>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</si>
  <si>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57.8% is not a credible funding cost, so risk-free + 2bp is assumed instead. Interest expense and reported debt are measuring different things - common for banks, whose interest expense includes deposits that total debt excludes.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</si>
  <si>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</si>
  <si>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</si>
  <si>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</si>
  <si>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</si>
  <si>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</si>
  <si>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</si>
  <si>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</si>
  <si>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</si>
  <si>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</si>
  <si>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</si>
  <si>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</si>
  <si>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</si>
  <si>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</si>
  <si>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</si>
  <si>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</si>
  <si>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</si>
  <si>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</si>
  <si>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</si>
  <si>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</si>
  <si>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</si>
  <si>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</si>
  <si>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</si>
  <si>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</si>
  <si>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</si>
  <si>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</si>
  <si>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</si>
  <si>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</si>
  <si>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</si>
  <si>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</si>
  <si>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</si>
  <si>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</si>
  <si>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</si>
  <si>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</si>
  <si>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</si>
  <si>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</si>
  <si>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</si>
  <si>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</si>
  <si>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</si>
  <si>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</si>
  <si>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</si>
  <si>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</si>
  <si>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</si>
  <si>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</si>
  <si>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</si>
  <si>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</si>
  <si>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</si>
  <si>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</si>
  <si>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</si>
  <si>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</si>
  <si>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</si>
  <si>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</si>
  <si>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</si>
  <si>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</si>
  <si>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</si>
  <si>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</si>
  <si>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</si>
  <si>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</si>
  <si>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</si>
  <si>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</si>
  <si>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</si>
  <si>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</si>
  <si>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</si>
  <si>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</si>
  <si>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</si>
  <si>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</si>
  <si>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</si>
  <si>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</si>
  <si>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</si>
  <si>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</si>
  <si>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</si>
  <si>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</si>
  <si>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</si>
  <si>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</si>
  <si>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</si>
  <si>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</si>
  <si>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</si>
  <si>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Consensus rests on as few as 2 analyst estimate(s).</t>
  </si>
  <si>
    <t>Adjusted: Free cashflow is negative in at least one forecast year, so terminal value carries most of the valuation.</t>
  </si>
  <si>
    <t>Adjusted: Capital expenditure runs at 2.5% of revenue against depreciation of 1.2%.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</si>
  <si>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</si>
  <si>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Current EV/EBITDA of 21.9x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</si>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</sst>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0.5</v>
      </c>
    </row>
    <row r="7" spans="1:2" x14ac:dyDescent="0.25">
      <c r="A7" t="s">
        <v>5</v>
      </c>
      <c r="B7" s="6">
        <v>-0.22912889963782623</v>
      </c>
    </row>
    <row r="8" spans="1:2" x14ac:dyDescent="0.25">
      <c r="A8" t="s">
        <v>6</v>
      </c>
      <c r="B8" s="6">
        <v>0.21517996870109546</v>
      </c>
    </row>
    <row r="9" spans="1:2" x14ac:dyDescent="0.25">
      <c r="A9" t="s">
        <v>7</v>
      </c>
      <c r="B9" s="6">
        <v>0.01156196469886429</v>
      </c>
    </row>
    <row r="10" spans="1:2" x14ac:dyDescent="0.25">
      <c r="A10" t="s">
        <v>8</v>
      </c>
      <c r="B10" s="6">
        <v>0.02477419007130097</v>
      </c>
    </row>
    <row r="11" spans="1:2" x14ac:dyDescent="0.25">
      <c r="A11" t="s">
        <v>9</v>
      </c>
      <c r="B11" s="6">
        <v>-0.14213921392139214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0.07174620451183537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0.66969</v>
      </c>
      <c r="C19" s="8" t="s">
        <v>19</v>
      </c>
    </row>
    <row r="20" spans="1:2" x14ac:dyDescent="0.25">
      <c r="A20" t="s">
        <v>20</v>
      </c>
      <c r="B20" s="10">
        <f>B17+B19*B18</f>
        <v>0.08552985</v>
      </c>
    </row>
    <row r="21" spans="1:3" x14ac:dyDescent="0.25">
      <c r="A21" t="s">
        <v>21</v>
      </c>
      <c r="B21" s="6">
        <v>0.062</v>
      </c>
      <c r="C21" s="8" t="s">
        <v>22</v>
      </c>
    </row>
    <row r="22" spans="1:2" x14ac:dyDescent="0.25">
      <c r="A22" t="s">
        <v>23</v>
      </c>
      <c r="B22" s="11">
        <v>14930792448</v>
      </c>
    </row>
    <row r="23" spans="1:2" x14ac:dyDescent="0.25">
      <c r="A23" t="s">
        <v>24</v>
      </c>
      <c r="B23" s="11">
        <v>8914000000</v>
      </c>
    </row>
    <row r="24" spans="1:2" x14ac:dyDescent="0.25">
      <c r="A24" t="s">
        <v>25</v>
      </c>
      <c r="B24" s="10">
        <f>B22/(B22+B23)</f>
        <v>0.6261657542442702</v>
      </c>
    </row>
    <row r="25" spans="1:2" x14ac:dyDescent="0.25">
      <c r="A25" t="s">
        <v>26</v>
      </c>
      <c r="B25" s="10">
        <f>1-B24</f>
        <v>0.37383424575572977</v>
      </c>
    </row>
    <row r="26" spans="1:2" x14ac:dyDescent="0.25">
      <c r="A26" t="s">
        <v>27</v>
      </c>
      <c r="B26" s="12">
        <f>B24*B20+B25*B21*(1-B8)</f>
        <v>0.07174620451183537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13109000000</v>
      </c>
      <c r="C29" s="8" t="s">
        <v>30</v>
      </c>
    </row>
    <row r="30" spans="1:2" x14ac:dyDescent="0.25">
      <c r="A30" t="s">
        <v>31</v>
      </c>
      <c r="B30" s="11">
        <v>3567000000</v>
      </c>
    </row>
    <row r="31" spans="1:2" x14ac:dyDescent="0.25">
      <c r="A31" t="s">
        <v>32</v>
      </c>
      <c r="B31" s="13">
        <v>228088544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0.5</v>
      </c>
      <c r="C5" s="10">
        <f>Assumptions!B6</f>
        <v>0.5</v>
      </c>
      <c r="D5" s="10">
        <f>Assumptions!B6</f>
        <v>0.5</v>
      </c>
      <c r="E5" s="10">
        <f>Assumptions!B6</f>
        <v>0.5</v>
      </c>
      <c r="F5" s="10">
        <f>Assumptions!B6</f>
        <v>0.5</v>
      </c>
    </row>
    <row r="6" spans="1:6" x14ac:dyDescent="0.25">
      <c r="A6" t="s">
        <v>43</v>
      </c>
      <c r="B6" s="18">
        <f>Assumptions!B29*(1+B5)</f>
        <v>19663500000</v>
      </c>
      <c r="C6" s="18">
        <f>B6*(1+C5)</f>
        <v>29495250000</v>
      </c>
      <c r="D6" s="18">
        <f>C6*(1+D5)</f>
        <v>44242875000</v>
      </c>
      <c r="E6" s="18">
        <f>D6*(1+E5)</f>
        <v>66364312500</v>
      </c>
      <c r="F6" s="18">
        <f>E6*(1+F5)</f>
        <v>99546468750</v>
      </c>
    </row>
    <row r="7" spans="1:6" x14ac:dyDescent="0.25">
      <c r="A7" t="s">
        <v>5</v>
      </c>
      <c r="B7" s="10">
        <f>Assumptions!B7</f>
        <v>-0.22912889963782623</v>
      </c>
      <c r="C7" s="10">
        <f>Assumptions!B7</f>
        <v>-0.22912889963782623</v>
      </c>
      <c r="D7" s="10">
        <f>Assumptions!B7</f>
        <v>-0.22912889963782623</v>
      </c>
      <c r="E7" s="10">
        <f>Assumptions!B7</f>
        <v>-0.22912889963782623</v>
      </c>
      <c r="F7" s="10">
        <f>Assumptions!B7</f>
        <v>-0.22912889963782623</v>
      </c>
    </row>
    <row r="8" spans="1:6" x14ac:dyDescent="0.25">
      <c r="A8" t="s">
        <v>44</v>
      </c>
      <c r="B8" s="18">
        <f>B6*B7</f>
        <v>-4505476118.028397</v>
      </c>
      <c r="C8" s="18">
        <f>C6*C7</f>
        <v>-6758214177.042594</v>
      </c>
      <c r="D8" s="18">
        <f>D6*D7</f>
        <v>-10137321265.56389</v>
      </c>
      <c r="E8" s="18">
        <f>E6*E7</f>
        <v>-15205981898.345837</v>
      </c>
      <c r="F8" s="18">
        <f>F6*F7</f>
        <v>-22808972847.518757</v>
      </c>
    </row>
    <row r="9" spans="1:6" x14ac:dyDescent="0.25">
      <c r="A9" t="s">
        <v>45</v>
      </c>
      <c r="B9" s="18">
        <f>B8*(1-Assumptions!B8)</f>
        <v>-3535987907.967513</v>
      </c>
      <c r="C9" s="18">
        <f>C8*(1-Assumptions!B8)</f>
        <v>-5303981861.951269</v>
      </c>
      <c r="D9" s="18">
        <f>D8*(1-Assumptions!B8)</f>
        <v>-7955972792.926903</v>
      </c>
      <c r="E9" s="18">
        <f>E8*(1-Assumptions!B8)</f>
        <v>-11933959189.390356</v>
      </c>
      <c r="F9" s="18">
        <f>F8*(1-Assumptions!B8)</f>
        <v>-17900938784.085533</v>
      </c>
    </row>
    <row r="10" spans="1:6" x14ac:dyDescent="0.25">
      <c r="A10" t="s">
        <v>46</v>
      </c>
      <c r="B10" s="18">
        <f>B6*Assumptions!B9</f>
        <v>227348692.85611796</v>
      </c>
      <c r="C10" s="18">
        <f>C6*Assumptions!B9</f>
        <v>341023039.28417695</v>
      </c>
      <c r="D10" s="18">
        <f>D6*Assumptions!B9</f>
        <v>511534558.9262654</v>
      </c>
      <c r="E10" s="18">
        <f>E6*Assumptions!B9</f>
        <v>767301838.3893982</v>
      </c>
      <c r="F10" s="18">
        <f>F6*Assumptions!B9</f>
        <v>1150952757.5840971</v>
      </c>
    </row>
    <row r="11" spans="1:6" x14ac:dyDescent="0.25">
      <c r="A11" t="s">
        <v>47</v>
      </c>
      <c r="B11" s="18">
        <f>-B6*Assumptions!B10</f>
        <v>-487147286.46702665</v>
      </c>
      <c r="C11" s="18">
        <f>-C6*Assumptions!B10</f>
        <v>-730720929.70054</v>
      </c>
      <c r="D11" s="18">
        <f>-D6*Assumptions!B10</f>
        <v>-1096081394.5508099</v>
      </c>
      <c r="E11" s="18">
        <f>-E6*Assumptions!B10</f>
        <v>-1644122091.8262148</v>
      </c>
      <c r="F11" s="18">
        <f>-F6*Assumptions!B10</f>
        <v>-2466183137.739322</v>
      </c>
    </row>
    <row r="12" spans="1:6" x14ac:dyDescent="0.25">
      <c r="A12" t="s">
        <v>48</v>
      </c>
      <c r="B12" s="18">
        <f>-(B6-Assumptions!B29)*Assumptions!B11</f>
        <v>931651477.6477648</v>
      </c>
      <c r="C12" s="18">
        <f>-(C6-B6)*Assumptions!B11</f>
        <v>1397477216.4716473</v>
      </c>
      <c r="D12" s="18">
        <f>-(D6-C6)*Assumptions!B11</f>
        <v>2096215824.707471</v>
      </c>
      <c r="E12" s="18">
        <f>-(E6-D6)*Assumptions!B11</f>
        <v>3144323737.0612063</v>
      </c>
      <c r="F12" s="18">
        <f>-(F6-E6)*Assumptions!B11</f>
        <v>4716485605.591809</v>
      </c>
    </row>
    <row r="13" spans="1:6" x14ac:dyDescent="0.25">
      <c r="A13" s="19" t="s">
        <v>49</v>
      </c>
      <c r="B13" s="20">
        <f>B9+B10+B11+B12</f>
        <v>-2864135023.930657</v>
      </c>
      <c r="C13" s="20">
        <f>C9+C10+C11+C12</f>
        <v>-4296202535.895985</v>
      </c>
      <c r="D13" s="20">
        <f>D9+D10+D11+D12</f>
        <v>-6444303803.843976</v>
      </c>
      <c r="E13" s="20">
        <f>E9+E10+E11+E12</f>
        <v>-9666455705.765965</v>
      </c>
      <c r="F13" s="20">
        <f>F9+F10+F11+F12</f>
        <v>-14499683558.648949</v>
      </c>
    </row>
    <row r="14" spans="1:6" x14ac:dyDescent="0.25">
      <c r="A14" t="s">
        <v>50</v>
      </c>
      <c r="B14" s="21">
        <f>1/(1+Assumptions!$B$26)^(1-0.5*Assumptions!$B$32)</f>
        <v>0.9659486123127216</v>
      </c>
      <c r="C14" s="21">
        <f>1/(1+Assumptions!$B$26)^(2-0.5*Assumptions!$B$32)</f>
        <v>0.9012848454664664</v>
      </c>
      <c r="D14" s="21">
        <f>1/(1+Assumptions!$B$26)^(3-0.5*Assumptions!$B$32)</f>
        <v>0.840949883164726</v>
      </c>
      <c r="E14" s="21">
        <f>1/(1+Assumptions!$B$26)^(4-0.5*Assumptions!$B$32)</f>
        <v>0.7846539410398624</v>
      </c>
      <c r="F14" s="21">
        <f>1/(1+Assumptions!$B$26)^(5-0.5*Assumptions!$B$32)</f>
        <v>0.7321266338398285</v>
      </c>
    </row>
    <row r="15" spans="1:6" x14ac:dyDescent="0.25">
      <c r="A15" s="19" t="s">
        <v>51</v>
      </c>
      <c r="B15" s="20">
        <f>B13*B14</f>
        <v>-2766607251.8420815</v>
      </c>
      <c r="C15" s="20">
        <f>C13*C14</f>
        <v>-3872102238.6576533</v>
      </c>
      <c r="D15" s="20">
        <f>D13*D14</f>
        <v>-5419336530.92059</v>
      </c>
      <c r="E15" s="20">
        <f>E13*E14</f>
        <v>-7584822565.416529</v>
      </c>
      <c r="F15" s="20">
        <f>F13*F14</f>
        <v>-10615604515.53636</v>
      </c>
    </row>
    <row r="17" spans="1:2" x14ac:dyDescent="0.25">
      <c r="A17" s="22" t="s">
        <v>52</v>
      </c>
      <c r="B17" s="23">
        <f>SUM(B15:F15)</f>
        <v>-30258473102.373215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-14499683558.648949</v>
      </c>
    </row>
    <row r="5" spans="1:2" x14ac:dyDescent="0.25">
      <c r="A5" t="s">
        <v>56</v>
      </c>
      <c r="B5" s="18">
        <f>IF(Assumptions!$B$33=0,B4,B4-Forecast!F11-Forecast!F10-Forecast!F12)</f>
        <v>-17796033182.288567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0.3484504883582512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-30258473102.373215</v>
      </c>
    </row>
    <row r="12" spans="1:2" x14ac:dyDescent="0.25">
      <c r="A12" t="s">
        <v>63</v>
      </c>
      <c r="B12" s="18">
        <f>-Assumptions!B30</f>
        <v>-3567000000</v>
      </c>
    </row>
    <row r="13" spans="1:2" x14ac:dyDescent="0.25">
      <c r="A13" t="s">
        <v>64</v>
      </c>
      <c r="B13" s="18">
        <f>B11+B12</f>
        <v>-33825473102.373215</v>
      </c>
    </row>
    <row r="14" spans="1:2" x14ac:dyDescent="0.25">
      <c r="A14" s="19" t="s">
        <v>65</v>
      </c>
      <c r="B14" s="24">
        <f>B13/Assumptions!B31</f>
        <v>-148.29974583192225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-21658020089.934658</v>
      </c>
    </row>
    <row r="18" spans="1:2" x14ac:dyDescent="0.25">
      <c r="A18" t="s">
        <v>60</v>
      </c>
      <c r="B18" s="18">
        <f>B17*Assumptions!B13</f>
        <v>-433160401798.6932</v>
      </c>
    </row>
    <row r="19" spans="1:2" x14ac:dyDescent="0.25">
      <c r="A19" t="s">
        <v>61</v>
      </c>
      <c r="B19" s="18">
        <f>B18/(1+Assumptions!B26)^(5-0.5*Assumptions!B32)</f>
        <v>-317128266881.58484</v>
      </c>
    </row>
    <row r="20" spans="1:2" x14ac:dyDescent="0.25">
      <c r="A20" t="s">
        <v>62</v>
      </c>
      <c r="B20" s="18">
        <f>Forecast!B17+B19</f>
        <v>-347386739983.95807</v>
      </c>
    </row>
    <row r="21" spans="1:2" x14ac:dyDescent="0.25">
      <c r="A21" t="s">
        <v>63</v>
      </c>
      <c r="B21" s="18">
        <f>-Assumptions!B30</f>
        <v>-3567000000</v>
      </c>
    </row>
    <row r="22" spans="1:2" x14ac:dyDescent="0.25">
      <c r="A22" t="s">
        <v>64</v>
      </c>
      <c r="B22" s="18">
        <f>B20+B21</f>
        <v>-350953739983.95807</v>
      </c>
    </row>
    <row r="23" spans="1:2" x14ac:dyDescent="0.25">
      <c r="A23" s="19" t="s">
        <v>65</v>
      </c>
      <c r="B23" s="25">
        <f>B22/Assumptions!B31</f>
        <v>-1538.673244299188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74.08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-148.29974583192225</v>
      </c>
    </row>
    <row r="29" spans="1:2" x14ac:dyDescent="0.25">
      <c r="A29" s="19" t="s">
        <v>73</v>
      </c>
      <c r="B29" s="12">
        <f>B28/B26-1</f>
        <v>-3.001886417817525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0.051746</v>
      </c>
      <c r="B5" s="31">
        <v>-156.4305038289722</v>
      </c>
      <c r="C5" s="31">
        <v>-156.4305038289722</v>
      </c>
      <c r="D5" s="31">
        <v>-156.4305038289722</v>
      </c>
      <c r="E5" s="31">
        <v>-156.4305038289722</v>
      </c>
      <c r="F5" s="31">
        <v>-156.4305038289722</v>
      </c>
    </row>
    <row r="6" spans="1:6" x14ac:dyDescent="0.25">
      <c r="A6" s="30">
        <v>0.061746</v>
      </c>
      <c r="B6" s="31">
        <v>-152.27513082834372</v>
      </c>
      <c r="C6" s="31">
        <v>-152.27513082834372</v>
      </c>
      <c r="D6" s="31">
        <v>-152.27513082834372</v>
      </c>
      <c r="E6" s="31">
        <v>-152.27513082834372</v>
      </c>
      <c r="F6" s="31">
        <v>-152.27513082834372</v>
      </c>
    </row>
    <row r="7" spans="1:6" x14ac:dyDescent="0.25">
      <c r="A7" s="30">
        <v>0.071746</v>
      </c>
      <c r="B7" s="31">
        <v>-148.29982535750304</v>
      </c>
      <c r="C7" s="31">
        <v>-148.29982535750304</v>
      </c>
      <c r="D7" s="32">
        <v>-148.29982535750304</v>
      </c>
      <c r="E7" s="31">
        <v>-148.29982535750304</v>
      </c>
      <c r="F7" s="31">
        <v>-148.29982535750304</v>
      </c>
    </row>
    <row r="8" spans="1:6" x14ac:dyDescent="0.25">
      <c r="A8" s="30">
        <v>0.081746</v>
      </c>
      <c r="B8" s="31">
        <v>-144.49488658227602</v>
      </c>
      <c r="C8" s="31">
        <v>-144.49488658227602</v>
      </c>
      <c r="D8" s="31">
        <v>-144.49488658227602</v>
      </c>
      <c r="E8" s="31">
        <v>-144.49488658227602</v>
      </c>
      <c r="F8" s="31">
        <v>-144.49488658227602</v>
      </c>
    </row>
    <row r="9" spans="1:6" x14ac:dyDescent="0.25">
      <c r="A9" s="30">
        <v>0.091746</v>
      </c>
      <c r="B9" s="31">
        <v>-140.85122907092514</v>
      </c>
      <c r="C9" s="31">
        <v>-140.85122907092514</v>
      </c>
      <c r="D9" s="31">
        <v>-140.85122907092514</v>
      </c>
      <c r="E9" s="31">
        <v>-140.85122907092514</v>
      </c>
      <c r="F9" s="31">
        <v>-140.85122907092514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13109000000</v>
      </c>
      <c r="C5" s="18">
        <v>17947000000</v>
      </c>
      <c r="D5" s="18">
        <v>15380000000</v>
      </c>
      <c r="E5" s="18">
        <v>2048000000</v>
      </c>
      <c r="F5" s="8" t="s">
        <v>84</v>
      </c>
    </row>
    <row r="6" spans="1:6" x14ac:dyDescent="0.25">
      <c r="A6" t="s">
        <v>44</v>
      </c>
      <c r="B6" s="18">
        <v>696000000</v>
      </c>
      <c r="C6" s="18">
        <v>1464000000</v>
      </c>
      <c r="D6" s="18">
        <v>1278000000</v>
      </c>
      <c r="E6" s="18">
        <v>-2323000000</v>
      </c>
      <c r="F6" s="8" t="s">
        <v>85</v>
      </c>
    </row>
    <row r="7" spans="1:6" x14ac:dyDescent="0.25">
      <c r="A7" t="s">
        <v>86</v>
      </c>
      <c r="B7" s="18">
        <v>150000000</v>
      </c>
      <c r="C7" s="18">
        <v>113000000</v>
      </c>
      <c r="D7" s="18">
        <v>78000000</v>
      </c>
      <c r="E7" s="18">
        <v>48000000</v>
      </c>
      <c r="F7" s="8" t="s">
        <v>87</v>
      </c>
    </row>
    <row r="8" spans="1:6" x14ac:dyDescent="0.25">
      <c r="A8" t="s">
        <v>88</v>
      </c>
      <c r="B8" s="18">
        <v>32000000</v>
      </c>
      <c r="C8" s="18">
        <v>30000000</v>
      </c>
      <c r="D8" s="18">
        <v>34000000</v>
      </c>
      <c r="E8" s="18">
        <v>190000000</v>
      </c>
      <c r="F8" s="8" t="s">
        <v>89</v>
      </c>
    </row>
    <row r="9" spans="1:6" x14ac:dyDescent="0.25">
      <c r="A9" t="s">
        <v>90</v>
      </c>
      <c r="B9" s="18">
        <v>3099000000</v>
      </c>
      <c r="C9" s="18">
        <v>2882000000</v>
      </c>
      <c r="D9" s="18">
        <v>-1895000000</v>
      </c>
      <c r="E9" s="18">
        <v>-1486000000</v>
      </c>
      <c r="F9" s="8" t="s">
        <v>91</v>
      </c>
    </row>
    <row r="10" spans="1:6" x14ac:dyDescent="0.25">
      <c r="A10" t="s">
        <v>92</v>
      </c>
      <c r="B10" s="18">
        <v>8914000000</v>
      </c>
      <c r="C10" s="18">
        <v>10692000000</v>
      </c>
      <c r="D10" s="18">
        <v>12901000000</v>
      </c>
      <c r="E10" s="18">
        <v>4457000000</v>
      </c>
      <c r="F10" s="8" t="s">
        <v>93</v>
      </c>
    </row>
    <row r="11" spans="1:6" x14ac:dyDescent="0.25">
      <c r="A11" t="s">
        <v>94</v>
      </c>
      <c r="B11" s="18">
        <v>5347000000</v>
      </c>
      <c r="C11" s="18">
        <v>7034000000</v>
      </c>
      <c r="D11" s="18">
        <v>11222000000</v>
      </c>
      <c r="E11" s="18">
        <v>4292000000</v>
      </c>
      <c r="F11" s="8" t="s">
        <v>95</v>
      </c>
    </row>
    <row r="12" spans="1:6" x14ac:dyDescent="0.25">
      <c r="A12" t="s">
        <v>32</v>
      </c>
      <c r="B12" s="34">
        <v>228088544</v>
      </c>
      <c r="C12" s="34">
        <v>232443759</v>
      </c>
      <c r="D12" s="34">
        <v>200483751</v>
      </c>
      <c r="E12" s="34">
        <v>158649601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54" customHeight="1" spans="1:6" x14ac:dyDescent="0.25">
      <c r="A19" s="35" t="s">
        <v>101</v>
      </c>
      <c r="B19" s="35"/>
      <c r="C19" s="35"/>
      <c r="D19" s="35"/>
      <c r="E19" s="35"/>
      <c r="F19" s="35"/>
    </row>
    <row r="20" ht="22" customHeight="1" spans="1:6" x14ac:dyDescent="0.25">
      <c r="A20" s="35" t="s">
        <v>102</v>
      </c>
      <c r="B20" s="35"/>
      <c r="C20" s="35"/>
      <c r="D20" s="35"/>
      <c r="E20" s="35"/>
      <c r="F20" s="35"/>
    </row>
    <row r="21" ht="38" customHeight="1" spans="1:6" x14ac:dyDescent="0.25">
      <c r="A21" s="35" t="s">
        <v>103</v>
      </c>
      <c r="B21" s="35"/>
      <c r="C21" s="35"/>
      <c r="D21" s="35"/>
      <c r="E21" s="35"/>
      <c r="F21" s="35"/>
    </row>
    <row r="23" spans="1:1" x14ac:dyDescent="0.25">
      <c r="A23" s="36" t="s">
        <v>104</v>
      </c>
    </row>
  </sheetData>
  <mergeCells count="6">
    <mergeCell ref="A16:F16"/>
    <mergeCell ref="A17:F17"/>
    <mergeCell ref="A18:F18"/>
    <mergeCell ref="A19:F19"/>
    <mergeCell ref="A20:F20"/>
    <mergeCell ref="A21:F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2026-09-19T00:06:34Z</dcterms:modified>
</cp:coreProperties>
</file>