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<sst xmlns="http://schemas.openxmlformats.org/spreadsheetml/2006/main" count="120" uniqueCount="103">
  <si>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ASSA ABLOY AB (publ) (ASSA-B.ST)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</si>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</sst>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0.08057839993738036</v>
      </c>
    </row>
    <row r="7" spans="1:2" x14ac:dyDescent="0.25">
      <c r="A7" t="s">
        <v>5</v>
      </c>
      <c r="B7" s="6">
        <v>0.1569905984954823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0.037029726888248626</v>
      </c>
    </row>
    <row r="10" spans="1:2" x14ac:dyDescent="0.25">
      <c r="A10" t="s">
        <v>8</v>
      </c>
      <c r="B10" s="6">
        <v>0.017635205237879106</v>
      </c>
    </row>
    <row r="11" spans="1:2" x14ac:dyDescent="0.25">
      <c r="A11" t="s">
        <v>9</v>
      </c>
      <c r="B11" s="6">
        <v>-0.022019902604276942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0.10838531325607598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0.89682</v>
      </c>
      <c r="C19" s="8" t="s">
        <v>19</v>
      </c>
    </row>
    <row r="20" spans="1:2" x14ac:dyDescent="0.25">
      <c r="A20" t="s">
        <v>20</v>
      </c>
      <c r="B20" s="10">
        <f>B17+B19*B18</f>
        <v>0.1002933</v>
      </c>
    </row>
    <row r="21" spans="1:3" x14ac:dyDescent="0.25">
      <c r="A21" t="s">
        <v>21</v>
      </c>
      <c r="B21" s="6">
        <v>0.04776239791435609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65353000000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0.03582179843576706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152409000000</v>
      </c>
      <c r="C29" s="8" t="s">
        <v>30</v>
      </c>
    </row>
    <row r="30" spans="1:2" x14ac:dyDescent="0.25">
      <c r="A30" t="s">
        <v>31</v>
      </c>
      <c r="B30" s="11">
        <v>63949000000</v>
      </c>
    </row>
    <row r="31" spans="1:2" x14ac:dyDescent="0.25">
      <c r="A31" t="s">
        <v>32</v>
      </c>
      <c r="B31" s="13">
        <v>1110776000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0.08057839993738036</v>
      </c>
      <c r="C5" s="10">
        <f>Assumptions!B6</f>
        <v>0.08057839993738036</v>
      </c>
      <c r="D5" s="10">
        <f>Assumptions!B6</f>
        <v>0.08057839993738036</v>
      </c>
      <c r="E5" s="10">
        <f>Assumptions!B6</f>
        <v>0.08057839993738036</v>
      </c>
      <c r="F5" s="10">
        <f>Assumptions!B6</f>
        <v>0.08057839993738036</v>
      </c>
    </row>
    <row r="6" spans="1:6" x14ac:dyDescent="0.25">
      <c r="A6" t="s">
        <v>43</v>
      </c>
      <c r="B6" s="18">
        <f>Assumptions!B29*(1+B5)</f>
        <v>164689873356.0562</v>
      </c>
      <c r="C6" s="18">
        <f>B6*(1+C5)</f>
        <v>177960319836.97702</v>
      </c>
      <c r="D6" s="18">
        <f>C6*(1+D5)</f>
        <v>192300077661.78506</v>
      </c>
      <c r="E6" s="18">
        <f>D6*(1+E5)</f>
        <v>207795310227.60568</v>
      </c>
      <c r="F6" s="18">
        <f>E6*(1+F5)</f>
        <v>224539123840.23773</v>
      </c>
    </row>
    <row r="7" spans="1:6" x14ac:dyDescent="0.25">
      <c r="A7" t="s">
        <v>5</v>
      </c>
      <c r="B7" s="10">
        <f>Assumptions!B7</f>
        <v>0.1569905984954823</v>
      </c>
      <c r="C7" s="10">
        <f>Assumptions!B7</f>
        <v>0.1569905984954823</v>
      </c>
      <c r="D7" s="10">
        <f>Assumptions!B7</f>
        <v>0.1569905984954823</v>
      </c>
      <c r="E7" s="10">
        <f>Assumptions!B7</f>
        <v>0.1569905984954823</v>
      </c>
      <c r="F7" s="10">
        <f>Assumptions!B7</f>
        <v>0.1569905984954823</v>
      </c>
    </row>
    <row r="8" spans="1:6" x14ac:dyDescent="0.25">
      <c r="A8" t="s">
        <v>44</v>
      </c>
      <c r="B8" s="18">
        <f>B6*B7</f>
        <v>25854761784.31245</v>
      </c>
      <c r="C8" s="18">
        <f>C6*C7</f>
        <v>27938097119.654472</v>
      </c>
      <c r="D8" s="18">
        <f>D6*D7</f>
        <v>30189304282.851364</v>
      </c>
      <c r="E8" s="18">
        <f>E6*E7</f>
        <v>32621910117.18623</v>
      </c>
      <c r="F8" s="18">
        <f>F6*F7</f>
        <v>35250531437.33014</v>
      </c>
    </row>
    <row r="9" spans="1:6" x14ac:dyDescent="0.25">
      <c r="A9" t="s">
        <v>45</v>
      </c>
      <c r="B9" s="18">
        <f>B8*(1-Assumptions!B8)</f>
        <v>19391071338.234337</v>
      </c>
      <c r="C9" s="18">
        <f>C8*(1-Assumptions!B8)</f>
        <v>20953572839.740852</v>
      </c>
      <c r="D9" s="18">
        <f>D8*(1-Assumptions!B8)</f>
        <v>22641978212.138523</v>
      </c>
      <c r="E9" s="18">
        <f>E8*(1-Assumptions!B8)</f>
        <v>24466432587.88967</v>
      </c>
      <c r="F9" s="18">
        <f>F8*(1-Assumptions!B8)</f>
        <v>26437898577.997604</v>
      </c>
    </row>
    <row r="10" spans="1:6" x14ac:dyDescent="0.25">
      <c r="A10" t="s">
        <v>46</v>
      </c>
      <c r="B10" s="18">
        <f>B6*Assumptions!B9</f>
        <v>6098421031.6350155</v>
      </c>
      <c r="C10" s="18">
        <f>C6*Assumptions!B9</f>
        <v>6589822040.508634</v>
      </c>
      <c r="D10" s="18">
        <f>D6*Assumptions!B9</f>
        <v>7120819356.4049015</v>
      </c>
      <c r="E10" s="18">
        <f>E6*Assumptions!B9</f>
        <v>7694603586.387135</v>
      </c>
      <c r="F10" s="18">
        <f>F6*Assumptions!B9</f>
        <v>8314622431.53064</v>
      </c>
    </row>
    <row r="11" spans="1:6" x14ac:dyDescent="0.25">
      <c r="A11" t="s">
        <v>47</v>
      </c>
      <c r="B11" s="18">
        <f>-B6*Assumptions!B10</f>
        <v>-2904339717.2343693</v>
      </c>
      <c r="C11" s="18">
        <f>-C6*Assumptions!B10</f>
        <v>-3138366764.5236983</v>
      </c>
      <c r="D11" s="18">
        <f>-D6*Assumptions!B10</f>
        <v>-3391251336.8256707</v>
      </c>
      <c r="E11" s="18">
        <f>-E6*Assumptions!B10</f>
        <v>-3664512943.3325853</v>
      </c>
      <c r="F11" s="18">
        <f>-F6*Assumptions!B10</f>
        <v>-3959793532.856146</v>
      </c>
    </row>
    <row r="12" spans="1:6" x14ac:dyDescent="0.25">
      <c r="A12" t="s">
        <v>48</v>
      </c>
      <c r="B12" s="18">
        <f>-(B6-Assumptions!B29)*Assumptions!B11</f>
        <v>270423635.19581753</v>
      </c>
      <c r="C12" s="18">
        <f>-(C6-B6)*Assumptions!B11</f>
        <v>292213939.0251458</v>
      </c>
      <c r="D12" s="18">
        <f>-(D6-C6)*Assumptions!B11</f>
        <v>315760070.67119133</v>
      </c>
      <c r="E12" s="18">
        <f>-(E6-D6)*Assumptions!B11</f>
        <v>341203511.9299903</v>
      </c>
      <c r="F12" s="18">
        <f>-(F6-E6)*Assumptions!B11</f>
        <v>368697144.97432417</v>
      </c>
    </row>
    <row r="13" spans="1:6" x14ac:dyDescent="0.25">
      <c r="A13" s="19" t="s">
        <v>49</v>
      </c>
      <c r="B13" s="20">
        <f>B9+B10+B11+B12</f>
        <v>22855576287.830803</v>
      </c>
      <c r="C13" s="20">
        <f>C9+C10+C11+C12</f>
        <v>24697242054.750935</v>
      </c>
      <c r="D13" s="20">
        <f>D9+D10+D11+D12</f>
        <v>26687306302.388947</v>
      </c>
      <c r="E13" s="20">
        <f>E9+E10+E11+E12</f>
        <v>28837726742.87421</v>
      </c>
      <c r="F13" s="20">
        <f>F9+F10+F11+F12</f>
        <v>31161424621.64642</v>
      </c>
    </row>
    <row r="14" spans="1:6" x14ac:dyDescent="0.25">
      <c r="A14" t="s">
        <v>50</v>
      </c>
      <c r="B14" s="21">
        <f>1/(1+Assumptions!$B$26)^(1-0.5*Assumptions!$B$32)</f>
        <v>0.9825563728825119</v>
      </c>
      <c r="C14" s="21">
        <f>1/(1+Assumptions!$B$26)^(2-0.5*Assumptions!$B$32)</f>
        <v>0.9485766512795025</v>
      </c>
      <c r="D14" s="21">
        <f>1/(1+Assumptions!$B$26)^(3-0.5*Assumptions!$B$32)</f>
        <v>0.9157720495088858</v>
      </c>
      <c r="E14" s="21">
        <f>1/(1+Assumptions!$B$26)^(4-0.5*Assumptions!$B$32)</f>
        <v>0.8841019284319244</v>
      </c>
      <c r="F14" s="21">
        <f>1/(1+Assumptions!$B$26)^(5-0.5*Assumptions!$B$32)</f>
        <v>0.8535270543321636</v>
      </c>
    </row>
    <row r="15" spans="1:6" x14ac:dyDescent="0.25">
      <c r="A15" s="19" t="s">
        <v>51</v>
      </c>
      <c r="B15" s="20">
        <f>B13*B14</f>
        <v>22456892137.51058</v>
      </c>
      <c r="C15" s="20">
        <f>C13*C14</f>
        <v>23427227164.13494</v>
      </c>
      <c r="D15" s="20">
        <f>D13*D14</f>
        <v>24439489188.41013</v>
      </c>
      <c r="E15" s="20">
        <f>E13*E14</f>
        <v>25495489824.967968</v>
      </c>
      <c r="F15" s="20">
        <f>F13*F14</f>
        <v>26597118966.107624</v>
      </c>
    </row>
    <row r="17" spans="1:2" x14ac:dyDescent="0.25">
      <c r="A17" s="22" t="s">
        <v>52</v>
      </c>
      <c r="B17" s="23">
        <f>SUM(B15:F15)</f>
        <v>122416217281.13124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31161424621.64642</v>
      </c>
    </row>
    <row r="5" spans="1:2" x14ac:dyDescent="0.25">
      <c r="A5" t="s">
        <v>56</v>
      </c>
      <c r="B5" s="18">
        <f>IF(Assumptions!$B$33=0,B4,B4-Forecast!F11-Forecast!F10-Forecast!F12)</f>
        <v>28008592036.56349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0.23065855740928556</v>
      </c>
    </row>
    <row r="7" spans="1:2" x14ac:dyDescent="0.25">
      <c r="A7" t="s">
        <v>58</v>
      </c>
      <c r="B7" s="18">
        <f>-MAX(Forecast!F9,0)*B6</f>
        <v>-6460421434.218939</v>
      </c>
    </row>
    <row r="8" spans="1:2" x14ac:dyDescent="0.25">
      <c r="A8" t="s">
        <v>59</v>
      </c>
      <c r="B8" s="18">
        <f>IF(OR(Assumptions!$B$33=0,Assumptions!B12&lt;=0),B5,MAX(B5+B7,0))</f>
        <v>21548170602.34455</v>
      </c>
    </row>
    <row r="9" spans="1:2" x14ac:dyDescent="0.25">
      <c r="A9" t="s">
        <v>60</v>
      </c>
      <c r="B9" s="18">
        <f>B8*(1+Assumptions!B12)/(Assumptions!B26-Assumptions!B12)</f>
        <v>2040961583095.4646</v>
      </c>
    </row>
    <row r="10" spans="1:2" x14ac:dyDescent="0.25">
      <c r="A10" t="s">
        <v>61</v>
      </c>
      <c r="B10" s="18">
        <f>B9/(1+Assumptions!B26)^(5-0.5*Assumptions!B32)</f>
        <v>1742015928024.5813</v>
      </c>
    </row>
    <row r="11" spans="1:2" x14ac:dyDescent="0.25">
      <c r="A11" t="s">
        <v>62</v>
      </c>
      <c r="B11" s="18">
        <f>Forecast!B17+B10</f>
        <v>1864432145305.7126</v>
      </c>
    </row>
    <row r="12" spans="1:2" x14ac:dyDescent="0.25">
      <c r="A12" t="s">
        <v>63</v>
      </c>
      <c r="B12" s="18">
        <f>-Assumptions!B30</f>
        <v>-63949000000</v>
      </c>
    </row>
    <row r="13" spans="1:2" x14ac:dyDescent="0.25">
      <c r="A13" t="s">
        <v>64</v>
      </c>
      <c r="B13" s="18">
        <f>B11+B12</f>
        <v>1800483145305.7126</v>
      </c>
    </row>
    <row r="14" spans="1:2" x14ac:dyDescent="0.25">
      <c r="A14" s="19" t="s">
        <v>65</v>
      </c>
      <c r="B14" s="24">
        <f>B13/Assumptions!B31</f>
        <v>1620.9237013634727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43565153868.86078</v>
      </c>
    </row>
    <row r="18" spans="1:2" x14ac:dyDescent="0.25">
      <c r="A18" t="s">
        <v>60</v>
      </c>
      <c r="B18" s="18">
        <f>B17*Assumptions!B13</f>
        <v>348521230950.8862</v>
      </c>
    </row>
    <row r="19" spans="1:2" x14ac:dyDescent="0.25">
      <c r="A19" t="s">
        <v>61</v>
      </c>
      <c r="B19" s="18">
        <f>B18/(1+Assumptions!B26)^(5-0.5*Assumptions!B32)</f>
        <v>297472299625.7296</v>
      </c>
    </row>
    <row r="20" spans="1:2" x14ac:dyDescent="0.25">
      <c r="A20" t="s">
        <v>62</v>
      </c>
      <c r="B20" s="18">
        <f>Forecast!B17+B19</f>
        <v>419888516906.86084</v>
      </c>
    </row>
    <row r="21" spans="1:2" x14ac:dyDescent="0.25">
      <c r="A21" t="s">
        <v>63</v>
      </c>
      <c r="B21" s="18">
        <f>-Assumptions!B30</f>
        <v>-63949000000</v>
      </c>
    </row>
    <row r="22" spans="1:2" x14ac:dyDescent="0.25">
      <c r="A22" t="s">
        <v>64</v>
      </c>
      <c r="B22" s="18">
        <f>B20+B21</f>
        <v>355939516906.86084</v>
      </c>
    </row>
    <row r="23" spans="1:2" x14ac:dyDescent="0.25">
      <c r="A23" s="19" t="s">
        <v>65</v>
      </c>
      <c r="B23" s="25">
        <f>B22/Assumptions!B31</f>
        <v>320.44221058688777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347.8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1620.9237013634727</v>
      </c>
    </row>
    <row r="29" spans="1:2" x14ac:dyDescent="0.25">
      <c r="A29" s="19" t="s">
        <v>73</v>
      </c>
      <c r="B29" s="12">
        <f>B28/B26-1</f>
        <v>3.6605051793084318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0.015822</v>
      </c>
      <c r="B5" s="31">
        <v>25055.37624356224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0.025822</v>
      </c>
      <c r="B6" s="31">
        <v>1872.2462609741435</v>
      </c>
      <c r="C6" s="31">
        <v>3267.466170060192</v>
      </c>
      <c r="D6" s="31">
        <v>21623.546931706285</v>
      </c>
      <c r="E6" s="31" t="s">
        <v>76</v>
      </c>
      <c r="F6" s="31" t="s">
        <v>76</v>
      </c>
    </row>
    <row r="7" spans="1:6" x14ac:dyDescent="0.25">
      <c r="A7" s="30">
        <v>0.035822</v>
      </c>
      <c r="B7" s="31">
        <v>956.5634933578108</v>
      </c>
      <c r="C7" s="31">
        <v>1184.072754031202</v>
      </c>
      <c r="D7" s="32">
        <v>1620.8930626576894</v>
      </c>
      <c r="E7" s="31">
        <v>2806.3005647708424</v>
      </c>
      <c r="F7" s="31">
        <v>18400.645506477777</v>
      </c>
    </row>
    <row r="8" spans="1:6" x14ac:dyDescent="0.25">
      <c r="A8" s="30">
        <v>0.045822</v>
      </c>
      <c r="B8" s="31">
        <v>634.7578151140971</v>
      </c>
      <c r="C8" s="31">
        <v>713.8770439121676</v>
      </c>
      <c r="D8" s="31">
        <v>830.5375249970905</v>
      </c>
      <c r="E8" s="31">
        <v>1020.3301308440774</v>
      </c>
      <c r="F8" s="31">
        <v>1384.6207708442719</v>
      </c>
    </row>
    <row r="9" spans="1:6" x14ac:dyDescent="0.25">
      <c r="A9" s="30">
        <v>0.055822</v>
      </c>
      <c r="B9" s="31">
        <v>470.40471313286827</v>
      </c>
      <c r="C9" s="31">
        <v>505.8885634390889</v>
      </c>
      <c r="D9" s="31">
        <v>552.5893613477538</v>
      </c>
      <c r="E9" s="31">
        <v>617.0230318080017</v>
      </c>
      <c r="F9" s="31">
        <v>711.9641924489629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152409000000</v>
      </c>
      <c r="C5" s="18">
        <v>150162000000</v>
      </c>
      <c r="D5" s="18">
        <v>140716000000</v>
      </c>
      <c r="E5" s="18">
        <v>120793000000</v>
      </c>
      <c r="F5" s="8" t="s">
        <v>85</v>
      </c>
    </row>
    <row r="6" spans="1:6" x14ac:dyDescent="0.25">
      <c r="A6" t="s">
        <v>44</v>
      </c>
      <c r="B6" s="18">
        <v>23601000000</v>
      </c>
      <c r="C6" s="18">
        <v>24465000000</v>
      </c>
      <c r="D6" s="18">
        <v>21470000000</v>
      </c>
      <c r="E6" s="18">
        <v>19038000000</v>
      </c>
      <c r="F6" s="8" t="s">
        <v>86</v>
      </c>
    </row>
    <row r="7" spans="1:6" x14ac:dyDescent="0.25">
      <c r="A7" t="s">
        <v>87</v>
      </c>
      <c r="B7" s="18">
        <v>6082000000</v>
      </c>
      <c r="C7" s="18">
        <v>5645000000</v>
      </c>
      <c r="D7" s="18">
        <v>5174000000</v>
      </c>
      <c r="E7" s="18">
        <v>4089000000</v>
      </c>
      <c r="F7" s="8" t="s">
        <v>88</v>
      </c>
    </row>
    <row r="8" spans="1:6" x14ac:dyDescent="0.25">
      <c r="A8" t="s">
        <v>89</v>
      </c>
      <c r="B8" s="18">
        <v>2774000000</v>
      </c>
      <c r="C8" s="18">
        <v>2562000000</v>
      </c>
      <c r="D8" s="18">
        <v>2639000000</v>
      </c>
      <c r="E8" s="18">
        <v>1996000000</v>
      </c>
      <c r="F8" s="8" t="s">
        <v>90</v>
      </c>
    </row>
    <row r="9" spans="1:6" x14ac:dyDescent="0.25">
      <c r="A9" t="s">
        <v>91</v>
      </c>
      <c r="B9" s="18">
        <v>367000000</v>
      </c>
      <c r="C9" s="18">
        <v>-208000000</v>
      </c>
      <c r="D9" s="18">
        <v>-3837000000</v>
      </c>
      <c r="E9" s="18">
        <v>2830000000</v>
      </c>
      <c r="F9" s="8" t="s">
        <v>92</v>
      </c>
    </row>
    <row r="10" spans="1:6" x14ac:dyDescent="0.25">
      <c r="A10" t="s">
        <v>93</v>
      </c>
      <c r="B10" s="18">
        <v>65353000000</v>
      </c>
      <c r="C10" s="18">
        <v>73501000000</v>
      </c>
      <c r="D10" s="18">
        <v>65194000000</v>
      </c>
      <c r="E10" s="18">
        <v>33735000000</v>
      </c>
      <c r="F10" s="8" t="s">
        <v>94</v>
      </c>
    </row>
    <row r="11" spans="1:6" x14ac:dyDescent="0.25">
      <c r="A11" t="s">
        <v>95</v>
      </c>
      <c r="B11" s="18">
        <v>1404000000</v>
      </c>
      <c r="C11" s="18">
        <v>4529000000</v>
      </c>
      <c r="D11" s="18">
        <v>1702000000</v>
      </c>
      <c r="E11" s="18">
        <v>3417000000</v>
      </c>
      <c r="F11" s="8" t="s">
        <v>96</v>
      </c>
    </row>
    <row r="12" spans="1:6" x14ac:dyDescent="0.25">
      <c r="A12" t="s">
        <v>32</v>
      </c>
      <c r="B12" s="34">
        <v>1110776000</v>
      </c>
      <c r="C12" s="34">
        <v>1110776000</v>
      </c>
      <c r="D12" s="34">
        <v>1110776000</v>
      </c>
      <c r="E12" s="34">
        <v>1110776000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