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<sst xmlns="http://schemas.openxmlformats.org/spreadsheetml/2006/main" count="113" uniqueCount="101">
  <si>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Atlas Copco AB (publ) (ATCO-A.ST)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</si>
  <si>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</si>
  <si>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</si>
  <si>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</si>
  <si>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</si>
  <si>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</si>
  <si>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</si>
  <si>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</si>
  <si>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</si>
  <si>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</si>
  <si>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</si>
  <si>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</si>
  <si>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</si>
  <si>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</si>
  <si>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</si>
  <si>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</si>
  <si>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</si>
  <si>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</si>
  <si>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</si>
  <si>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</si>
  <si>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</si>
  <si>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</si>
  <si>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</si>
  <si>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</si>
  <si>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</si>
  <si>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</si>
  <si>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</si>
  <si>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</si>
  <si>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</si>
  <si>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</si>
  <si>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</si>
  <si>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</si>
  <si>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</si>
  <si>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</si>
  <si>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</si>
  <si>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</si>
  <si>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</si>
  <si>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</si>
  <si>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</si>
  <si>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</si>
  <si>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</si>
  <si>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</si>
  <si>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</si>
  <si>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</si>
  <si>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</si>
  <si>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</si>
  <si>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</si>
  <si>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</si>
  <si>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</si>
  <si>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</si>
  <si>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</si>
  <si>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</si>
  <si>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</si>
  <si>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</si>
  <si>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</si>
  <si>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</si>
  <si>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</si>
  <si>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</si>
  <si>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</si>
  <si>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</si>
  <si>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</si>
  <si>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</si>
  <si>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</si>
  <si>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</si>
  <si>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</si>
  <si>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</si>
  <si>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</si>
  <si>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</si>
  <si>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</si>
  <si>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</si>
  <si>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</si>
  <si>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</si>
  <si>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</si>
  <si>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</si>
  <si>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</si>
  <si>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</si>
  <si>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</si>
  <si>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</si>
  <si>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</si>
  <si>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</si>
  <si>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</si>
  <si>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</si>
  <si>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</si>
  <si>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</si>
  <si>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</si>
  <si>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</si>
  <si>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</si>
  <si>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</si>
  <si>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</si>
  <si>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</si>
  <si>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</si>
  <si>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</si>
  <si>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</si>
  <si>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</si>
  <si>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</si>
  <si>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</si>
  <si>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</si>
  <si>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</si>
  <si>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</si>
  <si>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Current EV/EBITDA of 22.1x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</si>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</sst>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0.060047573078785055</v>
      </c>
    </row>
    <row r="7" spans="1:2" x14ac:dyDescent="0.25">
      <c r="A7" t="s">
        <v>5</v>
      </c>
      <c r="B7" s="6">
        <v>0.2152152653462479</v>
      </c>
    </row>
    <row r="8" spans="1:2" x14ac:dyDescent="0.25">
      <c r="A8" t="s">
        <v>6</v>
      </c>
      <c r="B8" s="6">
        <v>0.21680650901719067</v>
      </c>
    </row>
    <row r="9" spans="1:2" x14ac:dyDescent="0.25">
      <c r="A9" t="s">
        <v>7</v>
      </c>
      <c r="B9" s="6">
        <v>0.04901547775353218</v>
      </c>
    </row>
    <row r="10" spans="1:2" x14ac:dyDescent="0.25">
      <c r="A10" t="s">
        <v>8</v>
      </c>
      <c r="B10" s="6">
        <v>0.03449977888895795</v>
      </c>
    </row>
    <row r="11" spans="1:2" x14ac:dyDescent="0.25">
      <c r="A11" t="s">
        <v>9</v>
      </c>
      <c r="B11" s="6">
        <v>0.18427518427518427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0.2127106525103748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1.04824</v>
      </c>
      <c r="C19" s="8" t="s">
        <v>19</v>
      </c>
    </row>
    <row r="20" spans="1:2" x14ac:dyDescent="0.25">
      <c r="A20" t="s">
        <v>20</v>
      </c>
      <c r="B20" s="10">
        <f>B17+B19*B18</f>
        <v>0.1101356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962063958016</v>
      </c>
    </row>
    <row r="23" spans="1:2" x14ac:dyDescent="0.25">
      <c r="A23" t="s">
        <v>24</v>
      </c>
      <c r="B23" s="11">
        <v>34830000000</v>
      </c>
    </row>
    <row r="24" spans="1:2" x14ac:dyDescent="0.25">
      <c r="A24" t="s">
        <v>25</v>
      </c>
      <c r="B24" s="10">
        <f>B22/(B22+B23)</f>
        <v>0.9650614794884322</v>
      </c>
    </row>
    <row r="25" spans="1:2" x14ac:dyDescent="0.25">
      <c r="A25" t="s">
        <v>26</v>
      </c>
      <c r="B25" s="10">
        <f>1-B24</f>
        <v>0.03493852051156776</v>
      </c>
    </row>
    <row r="26" spans="1:2" x14ac:dyDescent="0.25">
      <c r="A26" t="s">
        <v>27</v>
      </c>
      <c r="B26" s="12">
        <f>B24*B20+B25*B21*(1-B8)</f>
        <v>0.10743689719801382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168343000000</v>
      </c>
      <c r="C29" s="8" t="s">
        <v>30</v>
      </c>
    </row>
    <row r="30" spans="1:2" x14ac:dyDescent="0.25">
      <c r="A30" t="s">
        <v>31</v>
      </c>
      <c r="B30" s="11">
        <v>18907000000</v>
      </c>
    </row>
    <row r="31" spans="1:2" x14ac:dyDescent="0.25">
      <c r="A31" t="s">
        <v>32</v>
      </c>
      <c r="B31" s="13">
        <v>4873011054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0.060047573078785055</v>
      </c>
      <c r="C5" s="10">
        <f>Assumptions!B6</f>
        <v>0.060047573078785055</v>
      </c>
      <c r="D5" s="10">
        <f>Assumptions!B6</f>
        <v>0.060047573078785055</v>
      </c>
      <c r="E5" s="10">
        <f>Assumptions!B6</f>
        <v>0.060047573078785055</v>
      </c>
      <c r="F5" s="10">
        <f>Assumptions!B6</f>
        <v>0.060047573078785055</v>
      </c>
    </row>
    <row r="6" spans="1:6" x14ac:dyDescent="0.25">
      <c r="A6" t="s">
        <v>43</v>
      </c>
      <c r="B6" s="18">
        <f>Assumptions!B29*(1+B5)</f>
        <v>178451588594.8019</v>
      </c>
      <c r="C6" s="18">
        <f>B6*(1+C5)</f>
        <v>189167173401.97357</v>
      </c>
      <c r="D6" s="18">
        <f>C6*(1+D5)</f>
        <v>200526203070.9358</v>
      </c>
      <c r="E6" s="18">
        <f>D6*(1+E5)</f>
        <v>212567314904.0491</v>
      </c>
      <c r="F6" s="18">
        <f>E6*(1+F5)</f>
        <v>225331466279.9111</v>
      </c>
    </row>
    <row r="7" spans="1:6" x14ac:dyDescent="0.25">
      <c r="A7" t="s">
        <v>5</v>
      </c>
      <c r="B7" s="10">
        <f>Assumptions!B7</f>
        <v>0.2152152653462479</v>
      </c>
      <c r="C7" s="10">
        <f>Assumptions!B7</f>
        <v>0.2152152653462479</v>
      </c>
      <c r="D7" s="10">
        <f>Assumptions!B7</f>
        <v>0.2152152653462479</v>
      </c>
      <c r="E7" s="10">
        <f>Assumptions!B7</f>
        <v>0.2152152653462479</v>
      </c>
      <c r="F7" s="10">
        <f>Assumptions!B7</f>
        <v>0.2152152653462479</v>
      </c>
    </row>
    <row r="8" spans="1:6" x14ac:dyDescent="0.25">
      <c r="A8" t="s">
        <v>44</v>
      </c>
      <c r="B8" s="18">
        <f>B6*B7</f>
        <v>38405505990.88976</v>
      </c>
      <c r="C8" s="18">
        <f>C6*C7</f>
        <v>40711663418.50543</v>
      </c>
      <c r="D8" s="18">
        <f>D6*D7</f>
        <v>43156300002.78704</v>
      </c>
      <c r="E8" s="18">
        <f>E6*E7</f>
        <v>45747731081.014366</v>
      </c>
      <c r="F8" s="18">
        <f>F6*F7</f>
        <v>48494771306.290184</v>
      </c>
    </row>
    <row r="9" spans="1:6" x14ac:dyDescent="0.25">
      <c r="A9" t="s">
        <v>45</v>
      </c>
      <c r="B9" s="18">
        <f>B8*(1-Assumptions!B8)</f>
        <v>30078942309.966152</v>
      </c>
      <c r="C9" s="18">
        <f>C8*(1-Assumptions!B8)</f>
        <v>31885109796.4564</v>
      </c>
      <c r="D9" s="18">
        <f>D8*(1-Assumptions!B8)</f>
        <v>33799733257.084206</v>
      </c>
      <c r="E9" s="18">
        <f>E8*(1-Assumptions!B8)</f>
        <v>35829325209.88241</v>
      </c>
      <c r="F9" s="18">
        <f>F8*(1-Assumptions!B8)</f>
        <v>37980789233.786385</v>
      </c>
    </row>
    <row r="10" spans="1:6" x14ac:dyDescent="0.25">
      <c r="A10" t="s">
        <v>46</v>
      </c>
      <c r="B10" s="18">
        <f>B6*Assumptions!B9</f>
        <v>8746889870.85099</v>
      </c>
      <c r="C10" s="18">
        <f>C6*Assumptions!B9</f>
        <v>9272119379.583</v>
      </c>
      <c r="D10" s="18">
        <f>D6*Assumptions!B9</f>
        <v>9828887645.62373</v>
      </c>
      <c r="E10" s="18">
        <f>E6*Assumptions!B9</f>
        <v>10419088494.80749</v>
      </c>
      <c r="F10" s="18">
        <f>F6*Assumptions!B9</f>
        <v>11044729472.61377</v>
      </c>
    </row>
    <row r="11" spans="1:6" x14ac:dyDescent="0.25">
      <c r="A11" t="s">
        <v>47</v>
      </c>
      <c r="B11" s="18">
        <f>-B6*Assumptions!B10</f>
        <v>-6156540348.903956</v>
      </c>
      <c r="C11" s="18">
        <f>-C6*Assumptions!B10</f>
        <v>-6526225655.417255</v>
      </c>
      <c r="D11" s="18">
        <f>-D6*Assumptions!B10</f>
        <v>-6918109667.389565</v>
      </c>
      <c r="E11" s="18">
        <f>-E6*Assumptions!B10</f>
        <v>-7333525363.20919</v>
      </c>
      <c r="F11" s="18">
        <f>-F6*Assumptions!B10</f>
        <v>-7773885763.381618</v>
      </c>
    </row>
    <row r="12" spans="1:6" x14ac:dyDescent="0.25">
      <c r="A12" t="s">
        <v>48</v>
      </c>
      <c r="B12" s="18">
        <f>-(B6-Assumptions!B29)*Assumptions!B11</f>
        <v>-1862762026.069148</v>
      </c>
      <c r="C12" s="18">
        <f>-(C6-B6)*Assumptions!B11</f>
        <v>-1974616364.957923</v>
      </c>
      <c r="D12" s="18">
        <f>-(D6-C6)*Assumptions!B11</f>
        <v>-2093187285.4352984</v>
      </c>
      <c r="E12" s="18">
        <f>-(E6-D6)*Assumptions!B11</f>
        <v>-2218878101.9250574</v>
      </c>
      <c r="F12" s="18">
        <f>-(F6-E6)*Assumptions!B11</f>
        <v>-2352116346.903317</v>
      </c>
    </row>
    <row r="13" spans="1:6" x14ac:dyDescent="0.25">
      <c r="A13" s="19" t="s">
        <v>49</v>
      </c>
      <c r="B13" s="20">
        <f>B9+B10+B11+B12</f>
        <v>30806529805.844032</v>
      </c>
      <c r="C13" s="20">
        <f>C9+C10+C11+C12</f>
        <v>32656387155.664223</v>
      </c>
      <c r="D13" s="20">
        <f>D9+D10+D11+D12</f>
        <v>34617323949.88307</v>
      </c>
      <c r="E13" s="20">
        <f>E9+E10+E11+E12</f>
        <v>36696010239.55565</v>
      </c>
      <c r="F13" s="20">
        <f>F9+F10+F11+F12</f>
        <v>38899516596.11522</v>
      </c>
    </row>
    <row r="14" spans="1:6" x14ac:dyDescent="0.25">
      <c r="A14" t="s">
        <v>50</v>
      </c>
      <c r="B14" s="21">
        <f>1/(1+Assumptions!$B$26)^(1-0.5*Assumptions!$B$32)</f>
        <v>0.9502557483699406</v>
      </c>
      <c r="C14" s="21">
        <f>1/(1+Assumptions!$B$26)^(2-0.5*Assumptions!$B$32)</f>
        <v>0.8580676251389441</v>
      </c>
      <c r="D14" s="21">
        <f>1/(1+Assumptions!$B$26)^(3-0.5*Assumptions!$B$32)</f>
        <v>0.7748230416649362</v>
      </c>
      <c r="E14" s="21">
        <f>1/(1+Assumptions!$B$26)^(4-0.5*Assumptions!$B$32)</f>
        <v>0.6996543492684396</v>
      </c>
      <c r="F14" s="21">
        <f>1/(1+Assumptions!$B$26)^(5-0.5*Assumptions!$B$32)</f>
        <v>0.6317780733499787</v>
      </c>
    </row>
    <row r="15" spans="1:6" x14ac:dyDescent="0.25">
      <c r="A15" s="19" t="s">
        <v>51</v>
      </c>
      <c r="B15" s="20">
        <f>B13*B14</f>
        <v>29274082035.333202</v>
      </c>
      <c r="C15" s="20">
        <f>C13*C14</f>
        <v>28021388572.278717</v>
      </c>
      <c r="D15" s="20">
        <f>D13*D14</f>
        <v>26822300237.148846</v>
      </c>
      <c r="E15" s="20">
        <f>E13*E14</f>
        <v>25674523164.904305</v>
      </c>
      <c r="F15" s="20">
        <f>F13*F14</f>
        <v>24575861649.339195</v>
      </c>
    </row>
    <row r="17" spans="1:2" x14ac:dyDescent="0.25">
      <c r="A17" s="22" t="s">
        <v>52</v>
      </c>
      <c r="B17" s="23">
        <f>SUM(B15:F15)</f>
        <v>134368155659.00427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38899516596.11522</v>
      </c>
    </row>
    <row r="5" spans="1:2" x14ac:dyDescent="0.25">
      <c r="A5" t="s">
        <v>56</v>
      </c>
      <c r="B5" s="18">
        <f>IF(Assumptions!$B$33=0,B4,B4-Forecast!F11-Forecast!F10-Forecast!F12)</f>
        <v>37980789233.786385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0.11753055009212877</v>
      </c>
    </row>
    <row r="7" spans="1:2" x14ac:dyDescent="0.25">
      <c r="A7" t="s">
        <v>58</v>
      </c>
      <c r="B7" s="18">
        <f>-MAX(Forecast!F9,0)*B6</f>
        <v>-4463903051.580116</v>
      </c>
    </row>
    <row r="8" spans="1:2" x14ac:dyDescent="0.25">
      <c r="A8" t="s">
        <v>59</v>
      </c>
      <c r="B8" s="18">
        <f>IF(OR(Assumptions!$B$33=0,Assumptions!B12&lt;=0),B5,MAX(B5+B7,0))</f>
        <v>33516886182.20627</v>
      </c>
    </row>
    <row r="9" spans="1:2" x14ac:dyDescent="0.25">
      <c r="A9" t="s">
        <v>60</v>
      </c>
      <c r="B9" s="18">
        <f>B8*(1+Assumptions!B12)/(Assumptions!B26-Assumptions!B12)</f>
        <v>416740676862.704</v>
      </c>
    </row>
    <row r="10" spans="1:2" x14ac:dyDescent="0.25">
      <c r="A10" t="s">
        <v>61</v>
      </c>
      <c r="B10" s="18">
        <f>B9/(1+Assumptions!B26)^(5-0.5*Assumptions!B32)</f>
        <v>263287621914.88516</v>
      </c>
    </row>
    <row r="11" spans="1:2" x14ac:dyDescent="0.25">
      <c r="A11" t="s">
        <v>62</v>
      </c>
      <c r="B11" s="18">
        <f>Forecast!B17+B10</f>
        <v>397655777573.8894</v>
      </c>
    </row>
    <row r="12" spans="1:2" x14ac:dyDescent="0.25">
      <c r="A12" t="s">
        <v>63</v>
      </c>
      <c r="B12" s="18">
        <f>-Assumptions!B30</f>
        <v>-18907000000</v>
      </c>
    </row>
    <row r="13" spans="1:2" x14ac:dyDescent="0.25">
      <c r="A13" t="s">
        <v>64</v>
      </c>
      <c r="B13" s="18">
        <f>B11+B12</f>
        <v>378748777573.8894</v>
      </c>
    </row>
    <row r="14" spans="1:2" x14ac:dyDescent="0.25">
      <c r="A14" s="19" t="s">
        <v>65</v>
      </c>
      <c r="B14" s="24">
        <f>B13/Assumptions!B31</f>
        <v>77.72376737438228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59539500778.90395</v>
      </c>
    </row>
    <row r="18" spans="1:2" x14ac:dyDescent="0.25">
      <c r="A18" t="s">
        <v>60</v>
      </c>
      <c r="B18" s="18">
        <f>B17*Assumptions!B13</f>
        <v>1190790015578.079</v>
      </c>
    </row>
    <row r="19" spans="1:2" x14ac:dyDescent="0.25">
      <c r="A19" t="s">
        <v>61</v>
      </c>
      <c r="B19" s="18">
        <f>B18/(1+Assumptions!B26)^(5-0.5*Assumptions!B32)</f>
        <v>752315021806.3099</v>
      </c>
    </row>
    <row r="20" spans="1:2" x14ac:dyDescent="0.25">
      <c r="A20" t="s">
        <v>62</v>
      </c>
      <c r="B20" s="18">
        <f>Forecast!B17+B19</f>
        <v>886683177465.3142</v>
      </c>
    </row>
    <row r="21" spans="1:2" x14ac:dyDescent="0.25">
      <c r="A21" t="s">
        <v>63</v>
      </c>
      <c r="B21" s="18">
        <f>-Assumptions!B30</f>
        <v>-18907000000</v>
      </c>
    </row>
    <row r="22" spans="1:2" x14ac:dyDescent="0.25">
      <c r="A22" t="s">
        <v>64</v>
      </c>
      <c r="B22" s="18">
        <f>B20+B21</f>
        <v>867776177465.3142</v>
      </c>
    </row>
    <row r="23" spans="1:2" x14ac:dyDescent="0.25">
      <c r="A23" s="19" t="s">
        <v>65</v>
      </c>
      <c r="B23" s="25">
        <f>B22/Assumptions!B31</f>
        <v>178.07802359754595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197.2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77.72376737438228</v>
      </c>
    </row>
    <row r="29" spans="1:2" x14ac:dyDescent="0.25">
      <c r="A29" s="19" t="s">
        <v>73</v>
      </c>
      <c r="B29" s="12">
        <f>B28/B26-1</f>
        <v>-0.6058632486086091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0.087437</v>
      </c>
      <c r="B5" s="31">
        <v>94.55667675298105</v>
      </c>
      <c r="C5" s="31">
        <v>98.18607440507108</v>
      </c>
      <c r="D5" s="31">
        <v>102.3766388937248</v>
      </c>
      <c r="E5" s="31">
        <v>107.27492213753932</v>
      </c>
      <c r="F5" s="31">
        <v>113.08337243308779</v>
      </c>
    </row>
    <row r="6" spans="1:6" x14ac:dyDescent="0.25">
      <c r="A6" s="30">
        <v>0.097437</v>
      </c>
      <c r="B6" s="31">
        <v>83.00707985400882</v>
      </c>
      <c r="C6" s="31">
        <v>85.51699071263884</v>
      </c>
      <c r="D6" s="31">
        <v>88.35675246052075</v>
      </c>
      <c r="E6" s="31">
        <v>91.5997337726962</v>
      </c>
      <c r="F6" s="31">
        <v>95.34280498989907</v>
      </c>
    </row>
    <row r="7" spans="1:6" x14ac:dyDescent="0.25">
      <c r="A7" s="30">
        <v>0.107437</v>
      </c>
      <c r="B7" s="31">
        <v>73.95047094218594</v>
      </c>
      <c r="C7" s="31">
        <v>75.73580660794683</v>
      </c>
      <c r="D7" s="32">
        <v>77.72367125205626</v>
      </c>
      <c r="E7" s="31">
        <v>79.95329592265962</v>
      </c>
      <c r="F7" s="31">
        <v>82.47474343844632</v>
      </c>
    </row>
    <row r="8" spans="1:6" x14ac:dyDescent="0.25">
      <c r="A8" s="30">
        <v>0.117437</v>
      </c>
      <c r="B8" s="31">
        <v>66.65707810773903</v>
      </c>
      <c r="C8" s="31">
        <v>67.95389297351271</v>
      </c>
      <c r="D8" s="31">
        <v>69.37897423905424</v>
      </c>
      <c r="E8" s="31">
        <v>70.95432627318368</v>
      </c>
      <c r="F8" s="31">
        <v>72.70729191381139</v>
      </c>
    </row>
    <row r="9" spans="1:6" x14ac:dyDescent="0.25">
      <c r="A9" s="30">
        <v>0.127437</v>
      </c>
      <c r="B9" s="31">
        <v>60.65672720414618</v>
      </c>
      <c r="C9" s="31">
        <v>61.613433765655664</v>
      </c>
      <c r="D9" s="31">
        <v>62.653109976288924</v>
      </c>
      <c r="E9" s="31">
        <v>63.788528650652935</v>
      </c>
      <c r="F9" s="31">
        <v>65.03522617521588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168343000000</v>
      </c>
      <c r="C5" s="18">
        <v>176771000000</v>
      </c>
      <c r="D5" s="18">
        <v>172664000000</v>
      </c>
      <c r="E5" s="18">
        <v>141325000000</v>
      </c>
      <c r="F5" s="8" t="s">
        <v>84</v>
      </c>
    </row>
    <row r="6" spans="1:6" x14ac:dyDescent="0.25">
      <c r="A6" t="s">
        <v>44</v>
      </c>
      <c r="B6" s="18">
        <v>34811000000</v>
      </c>
      <c r="C6" s="18">
        <v>37951000000</v>
      </c>
      <c r="D6" s="18">
        <v>38484000000</v>
      </c>
      <c r="E6" s="18">
        <v>30597000000</v>
      </c>
      <c r="F6" s="8" t="s">
        <v>85</v>
      </c>
    </row>
    <row r="7" spans="1:6" x14ac:dyDescent="0.25">
      <c r="A7" t="s">
        <v>86</v>
      </c>
      <c r="B7" s="18">
        <v>9529000000</v>
      </c>
      <c r="C7" s="18">
        <v>8785000000</v>
      </c>
      <c r="D7" s="18">
        <v>7761000000</v>
      </c>
      <c r="E7" s="18">
        <v>6333000000</v>
      </c>
      <c r="F7" s="8" t="s">
        <v>87</v>
      </c>
    </row>
    <row r="8" spans="1:6" x14ac:dyDescent="0.25">
      <c r="A8" t="s">
        <v>88</v>
      </c>
      <c r="B8" s="18">
        <v>6187000000</v>
      </c>
      <c r="C8" s="18">
        <v>6024000000</v>
      </c>
      <c r="D8" s="18">
        <v>5451000000</v>
      </c>
      <c r="E8" s="18">
        <v>5031000000</v>
      </c>
      <c r="F8" s="8" t="s">
        <v>89</v>
      </c>
    </row>
    <row r="9" spans="1:6" x14ac:dyDescent="0.25">
      <c r="A9" t="s">
        <v>90</v>
      </c>
      <c r="B9" s="18">
        <v>-1618000000</v>
      </c>
      <c r="C9" s="18">
        <v>-2068000000</v>
      </c>
      <c r="D9" s="18">
        <v>5775000000</v>
      </c>
      <c r="E9" s="18">
        <v>7415000000</v>
      </c>
      <c r="F9" s="8" t="s">
        <v>91</v>
      </c>
    </row>
    <row r="10" spans="1:6" x14ac:dyDescent="0.25">
      <c r="A10" t="s">
        <v>92</v>
      </c>
      <c r="B10" s="18">
        <v>34830000000</v>
      </c>
      <c r="C10" s="18">
        <v>34708000000</v>
      </c>
      <c r="D10" s="18">
        <v>32591000000</v>
      </c>
      <c r="E10" s="18">
        <v>36301000000</v>
      </c>
      <c r="F10" s="8" t="s">
        <v>93</v>
      </c>
    </row>
    <row r="11" spans="1:6" x14ac:dyDescent="0.25">
      <c r="A11" t="s">
        <v>94</v>
      </c>
      <c r="B11" s="18">
        <v>15923000000</v>
      </c>
      <c r="C11" s="18">
        <v>19328000000</v>
      </c>
      <c r="D11" s="18">
        <v>11216000000</v>
      </c>
      <c r="E11" s="18">
        <v>11845000000</v>
      </c>
      <c r="F11" s="8" t="s">
        <v>95</v>
      </c>
    </row>
    <row r="12" spans="1:6" x14ac:dyDescent="0.25">
      <c r="A12" t="s">
        <v>32</v>
      </c>
      <c r="B12" s="34">
        <v>4873011054</v>
      </c>
      <c r="C12" s="34">
        <v>4881653895</v>
      </c>
      <c r="D12" s="34">
        <v>4878850267</v>
      </c>
      <c r="E12" s="34">
        <v>4875927765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2026-09-19T00:09:36Z</dcterms:modified>
</cp:coreProperties>
</file>