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<sst xmlns="http://schemas.openxmlformats.org/spreadsheetml/2006/main" count="113" uniqueCount="101">
  <si>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Alimentation Couche-Tard Inc. (ATD.TO)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</si>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</sst>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0.021121007946031778</v>
      </c>
    </row>
    <row r="7" spans="1:2" x14ac:dyDescent="0.25">
      <c r="A7" t="s">
        <v>5</v>
      </c>
      <c r="B7" s="6">
        <v>0.055814517277949324</v>
      </c>
    </row>
    <row r="8" spans="1:2" x14ac:dyDescent="0.25">
      <c r="A8" t="s">
        <v>6</v>
      </c>
      <c r="B8" s="6">
        <v>0.21649075924462063</v>
      </c>
    </row>
    <row r="9" spans="1:2" x14ac:dyDescent="0.25">
      <c r="A9" t="s">
        <v>7</v>
      </c>
      <c r="B9" s="6">
        <v>0.026687660201817943</v>
      </c>
    </row>
    <row r="10" spans="1:2" x14ac:dyDescent="0.25">
      <c r="A10" t="s">
        <v>8</v>
      </c>
      <c r="B10" s="6">
        <v>0.027776928748390124</v>
      </c>
    </row>
    <row r="11" spans="1:2" x14ac:dyDescent="0.25">
      <c r="A11" t="s">
        <v>9</v>
      </c>
      <c r="B11" s="6">
        <v>0.06289526453802252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12.380055882319008</v>
      </c>
    </row>
    <row r="14" spans="1:3" x14ac:dyDescent="0.25">
      <c r="A14" t="s">
        <v>12</v>
      </c>
      <c r="B14" s="6">
        <v>0.12818915884148263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0.80637</v>
      </c>
      <c r="C19" s="8" t="s">
        <v>19</v>
      </c>
    </row>
    <row r="20" spans="1:2" x14ac:dyDescent="0.25">
      <c r="A20" t="s">
        <v>20</v>
      </c>
      <c r="B20" s="10">
        <f>B17+B19*B18</f>
        <v>0.07735035000000001</v>
      </c>
    </row>
    <row r="21" spans="1:3" x14ac:dyDescent="0.25">
      <c r="A21" t="s">
        <v>21</v>
      </c>
      <c r="B21" s="6">
        <v>0.0467201494623762</v>
      </c>
      <c r="C21" s="8" t="s">
        <v>22</v>
      </c>
    </row>
    <row r="22" spans="1:2" x14ac:dyDescent="0.25">
      <c r="A22" t="s">
        <v>23</v>
      </c>
      <c r="B22" s="11">
        <v>72537407488</v>
      </c>
    </row>
    <row r="23" spans="1:2" x14ac:dyDescent="0.25">
      <c r="A23" t="s">
        <v>24</v>
      </c>
      <c r="B23" s="11">
        <v>16446000000</v>
      </c>
    </row>
    <row r="24" spans="1:2" x14ac:dyDescent="0.25">
      <c r="A24" t="s">
        <v>25</v>
      </c>
      <c r="B24" s="10">
        <f>B22/(B22+B23)</f>
        <v>0.8151790264694252</v>
      </c>
    </row>
    <row r="25" spans="1:2" x14ac:dyDescent="0.25">
      <c r="A25" t="s">
        <v>26</v>
      </c>
      <c r="B25" s="10">
        <f>1-B24</f>
        <v>0.1848209735305748</v>
      </c>
    </row>
    <row r="26" spans="1:2" x14ac:dyDescent="0.25">
      <c r="A26" t="s">
        <v>27</v>
      </c>
      <c r="B26" s="12">
        <f>B24*B20+B25*B21*(1-B8)</f>
        <v>0.06981987836056733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76506600000</v>
      </c>
      <c r="C29" s="8" t="s">
        <v>30</v>
      </c>
    </row>
    <row r="30" spans="1:2" x14ac:dyDescent="0.25">
      <c r="A30" t="s">
        <v>31</v>
      </c>
      <c r="B30" s="11">
        <v>13305900000</v>
      </c>
    </row>
    <row r="31" spans="1:2" x14ac:dyDescent="0.25">
      <c r="A31" t="s">
        <v>32</v>
      </c>
      <c r="B31" s="13">
        <v>932600000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0.021121007946031778</v>
      </c>
      <c r="C5" s="10">
        <f>Assumptions!B6</f>
        <v>0.021121007946031778</v>
      </c>
      <c r="D5" s="10">
        <f>Assumptions!B6</f>
        <v>0.021121007946031778</v>
      </c>
      <c r="E5" s="10">
        <f>Assumptions!B6</f>
        <v>0.021121007946031778</v>
      </c>
      <c r="F5" s="10">
        <f>Assumptions!B6</f>
        <v>0.021121007946031778</v>
      </c>
    </row>
    <row r="6" spans="1:6" x14ac:dyDescent="0.25">
      <c r="A6" t="s">
        <v>43</v>
      </c>
      <c r="B6" s="18">
        <f>Assumptions!B29*(1+B5)</f>
        <v>78122496506.52388</v>
      </c>
      <c r="C6" s="18">
        <f>B6*(1+C5)</f>
        <v>79772522376.00201</v>
      </c>
      <c r="D6" s="18">
        <f>C6*(1+D5)</f>
        <v>81457398454.98055</v>
      </c>
      <c r="E6" s="18">
        <f>D6*(1+E5)</f>
        <v>83177860815.01126</v>
      </c>
      <c r="F6" s="18">
        <f>E6*(1+F5)</f>
        <v>84934661074.21904</v>
      </c>
    </row>
    <row r="7" spans="1:6" x14ac:dyDescent="0.25">
      <c r="A7" t="s">
        <v>5</v>
      </c>
      <c r="B7" s="10">
        <f>Assumptions!B7</f>
        <v>0.055814517277949324</v>
      </c>
      <c r="C7" s="10">
        <f>Assumptions!B7</f>
        <v>0.055814517277949324</v>
      </c>
      <c r="D7" s="10">
        <f>Assumptions!B7</f>
        <v>0.055814517277949324</v>
      </c>
      <c r="E7" s="10">
        <f>Assumptions!B7</f>
        <v>0.055814517277949324</v>
      </c>
      <c r="F7" s="10">
        <f>Assumptions!B7</f>
        <v>0.055814517277949324</v>
      </c>
    </row>
    <row r="8" spans="1:6" x14ac:dyDescent="0.25">
      <c r="A8" t="s">
        <v>44</v>
      </c>
      <c r="B8" s="18">
        <f>B6*B7</f>
        <v>4360369431.059913</v>
      </c>
      <c r="C8" s="18">
        <f>C6*C7</f>
        <v>4452464828.460963</v>
      </c>
      <c r="D8" s="18">
        <f>D6*D7</f>
        <v>4546505373.482314</v>
      </c>
      <c r="E8" s="18">
        <f>E6*E7</f>
        <v>4642532149.60231</v>
      </c>
      <c r="F8" s="18">
        <f>F6*F7</f>
        <v>4740587108.023768</v>
      </c>
    </row>
    <row r="9" spans="1:6" x14ac:dyDescent="0.25">
      <c r="A9" t="s">
        <v>45</v>
      </c>
      <c r="B9" s="18">
        <f>B8*(1-Assumptions!B8)</f>
        <v>3416389742.342718</v>
      </c>
      <c r="C9" s="18">
        <f>C8*(1-Assumptions!B8)</f>
        <v>3488547337.23748</v>
      </c>
      <c r="D9" s="18">
        <f>D8*(1-Assumptions!B8)</f>
        <v>3562228973.2673807</v>
      </c>
      <c r="E9" s="18">
        <f>E8*(1-Assumptions!B8)</f>
        <v>3637466839.7173457</v>
      </c>
      <c r="F9" s="18">
        <f>F8*(1-Assumptions!B8)</f>
        <v>3714293805.7424426</v>
      </c>
    </row>
    <row r="10" spans="1:6" x14ac:dyDescent="0.25">
      <c r="A10" t="s">
        <v>46</v>
      </c>
      <c r="B10" s="18">
        <f>B6*Assumptions!B9</f>
        <v>2084906640.8838186</v>
      </c>
      <c r="C10" s="18">
        <f>C6*Assumptions!B9</f>
        <v>2128941970.6126602</v>
      </c>
      <c r="D10" s="18">
        <f>D6*Assumptions!B9</f>
        <v>2173907370.8906107</v>
      </c>
      <c r="E10" s="18">
        <f>E6*Assumptions!B9</f>
        <v>2219822485.745128</v>
      </c>
      <c r="F10" s="18">
        <f>F6*Assumptions!B9</f>
        <v>2266707374.105331</v>
      </c>
    </row>
    <row r="11" spans="1:6" x14ac:dyDescent="0.25">
      <c r="A11" t="s">
        <v>47</v>
      </c>
      <c r="B11" s="18">
        <f>-B6*Assumptions!B10</f>
        <v>-2170003019.1080704</v>
      </c>
      <c r="C11" s="18">
        <f>-C6*Assumptions!B10</f>
        <v>-2215835670.1175647</v>
      </c>
      <c r="D11" s="18">
        <f>-D6*Assumptions!B10</f>
        <v>-2262636352.9132185</v>
      </c>
      <c r="E11" s="18">
        <f>-E6*Assumptions!B10</f>
        <v>-2310425513.3020787</v>
      </c>
      <c r="F11" s="18">
        <f>-F6*Assumptions!B10</f>
        <v>-2359224028.9272466</v>
      </c>
    </row>
    <row r="12" spans="1:6" x14ac:dyDescent="0.25">
      <c r="A12" t="s">
        <v>48</v>
      </c>
      <c r="B12" s="18">
        <f>-(B6-Assumptions!B29)*Assumptions!B11</f>
        <v>-101632238.24388587</v>
      </c>
      <c r="C12" s="18">
        <f>-(C6-B6)*Assumptions!B11</f>
        <v>-103778813.55540787</v>
      </c>
      <c r="D12" s="18">
        <f>-(D6-C6)*Assumptions!B11</f>
        <v>-105970726.70114082</v>
      </c>
      <c r="E12" s="18">
        <f>-(E6-D6)*Assumptions!B11</f>
        <v>-108208935.26184243</v>
      </c>
      <c r="F12" s="18">
        <f>-(F6-E6)*Assumptions!B11</f>
        <v>-110494417.04333979</v>
      </c>
    </row>
    <row r="13" spans="1:6" x14ac:dyDescent="0.25">
      <c r="A13" s="19" t="s">
        <v>49</v>
      </c>
      <c r="B13" s="20">
        <f>B9+B10+B11+B12</f>
        <v>3229661125.8745804</v>
      </c>
      <c r="C13" s="20">
        <f>C9+C10+C11+C12</f>
        <v>3297874824.177168</v>
      </c>
      <c r="D13" s="20">
        <f>D9+D10+D11+D12</f>
        <v>3367529264.543632</v>
      </c>
      <c r="E13" s="20">
        <f>E9+E10+E11+E12</f>
        <v>3438654876.898553</v>
      </c>
      <c r="F13" s="20">
        <f>F9+F10+F11+F12</f>
        <v>3511282733.8771873</v>
      </c>
    </row>
    <row r="14" spans="1:6" x14ac:dyDescent="0.25">
      <c r="A14" t="s">
        <v>50</v>
      </c>
      <c r="B14" s="21">
        <f>1/(1+Assumptions!$B$26)^(1-0.5*Assumptions!$B$32)</f>
        <v>0.9668178685545097</v>
      </c>
      <c r="C14" s="21">
        <f>1/(1+Assumptions!$B$26)^(2-0.5*Assumptions!$B$32)</f>
        <v>0.9037202318918379</v>
      </c>
      <c r="D14" s="21">
        <f>1/(1+Assumptions!$B$26)^(3-0.5*Assumptions!$B$32)</f>
        <v>0.8447405494808465</v>
      </c>
      <c r="E14" s="21">
        <f>1/(1+Assumptions!$B$26)^(4-0.5*Assumptions!$B$32)</f>
        <v>0.7896100704123755</v>
      </c>
      <c r="F14" s="21">
        <f>1/(1+Assumptions!$B$26)^(5-0.5*Assumptions!$B$32)</f>
        <v>0.7380775833240304</v>
      </c>
    </row>
    <row r="15" spans="1:6" x14ac:dyDescent="0.25">
      <c r="A15" s="19" t="s">
        <v>51</v>
      </c>
      <c r="B15" s="20">
        <f>B13*B14</f>
        <v>3122494085.87142</v>
      </c>
      <c r="C15" s="20">
        <f>C13*C14</f>
        <v>2980356200.855644</v>
      </c>
      <c r="D15" s="20">
        <f>D13*D14</f>
        <v>2844688521.3234186</v>
      </c>
      <c r="E15" s="20">
        <f>E13*E14</f>
        <v>2715196519.471725</v>
      </c>
      <c r="F15" s="20">
        <f>F13*F14</f>
        <v>2591599074.587469</v>
      </c>
    </row>
    <row r="17" spans="1:2" x14ac:dyDescent="0.25">
      <c r="A17" s="22" t="s">
        <v>52</v>
      </c>
      <c r="B17" s="23">
        <f>SUM(B15:F15)</f>
        <v>14254334402.109678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3511282733.8771873</v>
      </c>
    </row>
    <row r="5" spans="1:2" x14ac:dyDescent="0.25">
      <c r="A5" t="s">
        <v>56</v>
      </c>
      <c r="B5" s="18">
        <f>IF(Assumptions!$B$33=0,B4,B4-Forecast!F11-Forecast!F10-Forecast!F12)</f>
        <v>3714293805.7424426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0.19502429242799493</v>
      </c>
    </row>
    <row r="7" spans="1:2" x14ac:dyDescent="0.25">
      <c r="A7" t="s">
        <v>58</v>
      </c>
      <c r="B7" s="18">
        <f>-MAX(Forecast!F9,0)*B6</f>
        <v>-724377521.3346044</v>
      </c>
    </row>
    <row r="8" spans="1:2" x14ac:dyDescent="0.25">
      <c r="A8" t="s">
        <v>59</v>
      </c>
      <c r="B8" s="18">
        <f>IF(OR(Assumptions!$B$33=0,Assumptions!B12&lt;=0),B5,MAX(B5+B7,0))</f>
        <v>2989916284.4078383</v>
      </c>
    </row>
    <row r="9" spans="1:2" x14ac:dyDescent="0.25">
      <c r="A9" t="s">
        <v>60</v>
      </c>
      <c r="B9" s="18">
        <f>B8*(1+Assumptions!B12)/(Assumptions!B26-Assumptions!B12)</f>
        <v>68377342902.70487</v>
      </c>
    </row>
    <row r="10" spans="1:2" x14ac:dyDescent="0.25">
      <c r="A10" t="s">
        <v>61</v>
      </c>
      <c r="B10" s="18">
        <f>B9/(1+Assumptions!B26)^(5-0.5*Assumptions!B32)</f>
        <v>50467784003.746956</v>
      </c>
    </row>
    <row r="11" spans="1:2" x14ac:dyDescent="0.25">
      <c r="A11" t="s">
        <v>62</v>
      </c>
      <c r="B11" s="18">
        <f>Forecast!B17+B10</f>
        <v>64722118405.856636</v>
      </c>
    </row>
    <row r="12" spans="1:2" x14ac:dyDescent="0.25">
      <c r="A12" t="s">
        <v>63</v>
      </c>
      <c r="B12" s="18">
        <f>-Assumptions!B30</f>
        <v>-13305900000</v>
      </c>
    </row>
    <row r="13" spans="1:2" x14ac:dyDescent="0.25">
      <c r="A13" t="s">
        <v>64</v>
      </c>
      <c r="B13" s="18">
        <f>B11+B12</f>
        <v>51416218405.856636</v>
      </c>
    </row>
    <row r="14" spans="1:2" x14ac:dyDescent="0.25">
      <c r="A14" s="19" t="s">
        <v>65</v>
      </c>
      <c r="B14" s="24">
        <f>B13/Assumptions!B31</f>
        <v>55.13212353190718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7007294482.129099</v>
      </c>
    </row>
    <row r="18" spans="1:2" x14ac:dyDescent="0.25">
      <c r="A18" t="s">
        <v>60</v>
      </c>
      <c r="B18" s="18">
        <f>B17*Assumptions!B13</f>
        <v>86750697272.62387</v>
      </c>
    </row>
    <row r="19" spans="1:2" x14ac:dyDescent="0.25">
      <c r="A19" t="s">
        <v>61</v>
      </c>
      <c r="B19" s="18">
        <f>B18/(1+Assumptions!B26)^(5-0.5*Assumptions!B32)</f>
        <v>64028744994.65278</v>
      </c>
    </row>
    <row r="20" spans="1:2" x14ac:dyDescent="0.25">
      <c r="A20" t="s">
        <v>62</v>
      </c>
      <c r="B20" s="18">
        <f>Forecast!B17+B19</f>
        <v>78283079396.76245</v>
      </c>
    </row>
    <row r="21" spans="1:2" x14ac:dyDescent="0.25">
      <c r="A21" t="s">
        <v>63</v>
      </c>
      <c r="B21" s="18">
        <f>-Assumptions!B30</f>
        <v>-13305900000</v>
      </c>
    </row>
    <row r="22" spans="1:2" x14ac:dyDescent="0.25">
      <c r="A22" t="s">
        <v>64</v>
      </c>
      <c r="B22" s="18">
        <f>B20+B21</f>
        <v>64977179396.76245</v>
      </c>
    </row>
    <row r="23" spans="1:2" x14ac:dyDescent="0.25">
      <c r="A23" s="19" t="s">
        <v>65</v>
      </c>
      <c r="B23" s="25">
        <f>B22/Assumptions!B31</f>
        <v>69.67314968556985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79.02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77.08573512231263</v>
      </c>
    </row>
    <row r="29" spans="1:2" x14ac:dyDescent="0.25">
      <c r="A29" s="19" t="s">
        <v>73</v>
      </c>
      <c r="B29" s="12">
        <f>B28/B26-1</f>
        <v>-0.024478168535653877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0.04982</v>
      </c>
      <c r="B5" s="31">
        <v>84.10023455993414</v>
      </c>
      <c r="C5" s="31">
        <v>94.11528392263837</v>
      </c>
      <c r="D5" s="31">
        <v>108.11511562637436</v>
      </c>
      <c r="E5" s="31">
        <v>129.11545798171102</v>
      </c>
      <c r="F5" s="31">
        <v>164.20184808541018</v>
      </c>
    </row>
    <row r="6" spans="1:6" x14ac:dyDescent="0.25">
      <c r="A6" s="30">
        <v>0.05982</v>
      </c>
      <c r="B6" s="31">
        <v>62.68522413323609</v>
      </c>
      <c r="C6" s="31">
        <v>67.66078164568124</v>
      </c>
      <c r="D6" s="31">
        <v>74.03092587222278</v>
      </c>
      <c r="E6" s="31">
        <v>82.4971591841366</v>
      </c>
      <c r="F6" s="31">
        <v>94.32625580707071</v>
      </c>
    </row>
    <row r="7" spans="1:6" x14ac:dyDescent="0.25">
      <c r="A7" s="30">
        <v>0.06982</v>
      </c>
      <c r="B7" s="31">
        <v>49.07469669297276</v>
      </c>
      <c r="C7" s="31">
        <v>51.810871240896184</v>
      </c>
      <c r="D7" s="32">
        <v>55.13194479486404</v>
      </c>
      <c r="E7" s="31">
        <v>59.258245960869964</v>
      </c>
      <c r="F7" s="31">
        <v>64.53665624898207</v>
      </c>
    </row>
    <row r="8" spans="1:6" x14ac:dyDescent="0.25">
      <c r="A8" s="30">
        <v>0.07982</v>
      </c>
      <c r="B8" s="31">
        <v>39.656955152810596</v>
      </c>
      <c r="C8" s="31">
        <v>41.24800584196527</v>
      </c>
      <c r="D8" s="31">
        <v>43.10923070561022</v>
      </c>
      <c r="E8" s="31">
        <v>45.32197483843339</v>
      </c>
      <c r="F8" s="31">
        <v>48.00388190481841</v>
      </c>
    </row>
    <row r="9" spans="1:6" x14ac:dyDescent="0.25">
      <c r="A9" s="30">
        <v>0.08982</v>
      </c>
      <c r="B9" s="31">
        <v>32.75115326124439</v>
      </c>
      <c r="C9" s="31">
        <v>33.70103027263259</v>
      </c>
      <c r="D9" s="31">
        <v>34.781174024078275</v>
      </c>
      <c r="E9" s="31">
        <v>36.02424919463296</v>
      </c>
      <c r="F9" s="31">
        <v>37.4748375297661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76506600000</v>
      </c>
      <c r="C5" s="18">
        <v>72856800000</v>
      </c>
      <c r="D5" s="18">
        <v>69263500000</v>
      </c>
      <c r="E5" s="18">
        <v>71856700000</v>
      </c>
      <c r="F5" s="8" t="s">
        <v>84</v>
      </c>
    </row>
    <row r="6" spans="1:6" x14ac:dyDescent="0.25">
      <c r="A6" t="s">
        <v>44</v>
      </c>
      <c r="B6" s="18">
        <v>4567100000</v>
      </c>
      <c r="C6" s="18">
        <v>3736400000</v>
      </c>
      <c r="D6" s="18">
        <v>3780900000</v>
      </c>
      <c r="E6" s="18">
        <v>4145500000</v>
      </c>
      <c r="F6" s="8" t="s">
        <v>85</v>
      </c>
    </row>
    <row r="7" spans="1:6" x14ac:dyDescent="0.25">
      <c r="A7" t="s">
        <v>86</v>
      </c>
      <c r="B7" s="18">
        <v>2366900000</v>
      </c>
      <c r="C7" s="18">
        <v>2111800000</v>
      </c>
      <c r="D7" s="18">
        <v>1765300000</v>
      </c>
      <c r="E7" s="18">
        <v>1533500000</v>
      </c>
      <c r="F7" s="8" t="s">
        <v>87</v>
      </c>
    </row>
    <row r="8" spans="1:6" x14ac:dyDescent="0.25">
      <c r="A8" t="s">
        <v>88</v>
      </c>
      <c r="B8" s="18">
        <v>1990500000</v>
      </c>
      <c r="C8" s="18">
        <v>2326600000</v>
      </c>
      <c r="D8" s="18">
        <v>1943100000</v>
      </c>
      <c r="E8" s="18">
        <v>1803800000</v>
      </c>
      <c r="F8" s="8" t="s">
        <v>89</v>
      </c>
    </row>
    <row r="9" spans="1:6" x14ac:dyDescent="0.25">
      <c r="A9" t="s">
        <v>90</v>
      </c>
      <c r="B9" s="18">
        <v>548500000</v>
      </c>
      <c r="C9" s="18">
        <v>-135000000</v>
      </c>
      <c r="D9" s="18">
        <v>-163100000</v>
      </c>
      <c r="E9" s="18">
        <v>315400000</v>
      </c>
      <c r="F9" s="8" t="s">
        <v>91</v>
      </c>
    </row>
    <row r="10" spans="1:6" x14ac:dyDescent="0.25">
      <c r="A10" t="s">
        <v>92</v>
      </c>
      <c r="B10" s="18">
        <v>16446000000</v>
      </c>
      <c r="C10" s="18">
        <v>13956300000</v>
      </c>
      <c r="D10" s="18">
        <v>14690900000</v>
      </c>
      <c r="E10" s="18">
        <v>9473600000</v>
      </c>
      <c r="F10" s="8" t="s">
        <v>93</v>
      </c>
    </row>
    <row r="11" spans="1:6" x14ac:dyDescent="0.25">
      <c r="A11" t="s">
        <v>94</v>
      </c>
      <c r="B11" s="18">
        <v>3140100000</v>
      </c>
      <c r="C11" s="18">
        <v>2313700000</v>
      </c>
      <c r="D11" s="18">
        <v>1868200000</v>
      </c>
      <c r="E11" s="18">
        <v>929200000</v>
      </c>
      <c r="F11" s="8" t="s">
        <v>95</v>
      </c>
    </row>
    <row r="12" spans="1:6" x14ac:dyDescent="0.25">
      <c r="A12" t="s">
        <v>32</v>
      </c>
      <c r="B12" s="34">
        <v>932600000</v>
      </c>
      <c r="C12" s="34">
        <v>950600000</v>
      </c>
      <c r="D12" s="34">
        <v>968200000</v>
      </c>
      <c r="E12" s="34">
        <v>1009500000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