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<sst xmlns="http://schemas.openxmlformats.org/spreadsheetml/2006/main" count="113" uniqueCount="101">
  <si>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Atmos Energy Corporation (ATO)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</si>
  <si>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</si>
  <si>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</si>
  <si>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</si>
  <si>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</si>
  <si>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</si>
  <si>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</si>
  <si>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</si>
  <si>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</si>
  <si>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</si>
  <si>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</si>
  <si>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</si>
  <si>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</si>
  <si>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</si>
  <si>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</si>
  <si>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</si>
  <si>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</si>
  <si>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</si>
  <si>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</si>
  <si>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</si>
  <si>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</si>
  <si>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</si>
  <si>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</si>
  <si>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</si>
  <si>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</si>
  <si>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</si>
  <si>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</si>
  <si>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</si>
  <si>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</si>
  <si>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</si>
  <si>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</si>
  <si>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</si>
  <si>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</si>
  <si>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</si>
  <si>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</si>
  <si>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</si>
  <si>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</si>
  <si>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</si>
  <si>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</si>
  <si>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</si>
  <si>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</si>
  <si>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</si>
  <si>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</si>
  <si>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</si>
  <si>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</si>
  <si>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</si>
  <si>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</si>
  <si>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</si>
  <si>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</si>
  <si>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</si>
  <si>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</si>
  <si>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</si>
  <si>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</si>
  <si>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</si>
  <si>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</si>
  <si>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</si>
  <si>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</si>
  <si>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</si>
  <si>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</si>
  <si>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</si>
  <si>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</si>
  <si>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</si>
  <si>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</si>
  <si>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</si>
  <si>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</si>
  <si>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</si>
  <si>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</si>
  <si>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</si>
  <si>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</si>
  <si>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</si>
  <si>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</si>
  <si>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</si>
  <si>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</si>
  <si>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</si>
  <si>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</si>
  <si>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</si>
  <si>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</si>
  <si>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</si>
  <si>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</si>
  <si>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</si>
  <si>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</si>
  <si>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</si>
  <si>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</si>
  <si>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</si>
  <si>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</si>
  <si>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</si>
  <si>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</si>
  <si>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</si>
  <si>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</si>
  <si>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</si>
  <si>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</si>
  <si>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</si>
  <si>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</si>
  <si>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</si>
  <si>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</si>
  <si>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</si>
  <si>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</si>
  <si>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</si>
  <si>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</si>
  <si>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67.5% of revenue against depreciation of 14.6%.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</si>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</sst>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0.03827025829324082</v>
      </c>
    </row>
    <row r="7" spans="1:2" x14ac:dyDescent="0.25">
      <c r="A7" t="s">
        <v>5</v>
      </c>
      <c r="B7" s="6">
        <v>0.2814788986220446</v>
      </c>
    </row>
    <row r="8" spans="1:2" x14ac:dyDescent="0.25">
      <c r="A8" t="s">
        <v>6</v>
      </c>
      <c r="B8" s="6">
        <v>0.13495036841434488</v>
      </c>
    </row>
    <row r="9" spans="1:2" x14ac:dyDescent="0.25">
      <c r="A9" t="s">
        <v>7</v>
      </c>
      <c r="B9" s="6">
        <v>0.14648130911433346</v>
      </c>
    </row>
    <row r="10" spans="1:2" x14ac:dyDescent="0.25">
      <c r="A10" t="s">
        <v>8</v>
      </c>
      <c r="B10" s="6">
        <v>0.6751371070634163</v>
      </c>
    </row>
    <row r="11" spans="1:2" x14ac:dyDescent="0.25">
      <c r="A11" t="s">
        <v>9</v>
      </c>
      <c r="B11" s="6">
        <v>-0.8983117000998457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15.770878107791988</v>
      </c>
    </row>
    <row r="14" spans="1:3" x14ac:dyDescent="0.25">
      <c r="A14" t="s">
        <v>12</v>
      </c>
      <c r="B14" s="6">
        <v>0.07805890469160034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0.72798</v>
      </c>
      <c r="C19" s="8" t="s">
        <v>19</v>
      </c>
    </row>
    <row r="20" spans="1:2" x14ac:dyDescent="0.25">
      <c r="A20" t="s">
        <v>20</v>
      </c>
      <c r="B20" s="10">
        <f>B17+B19*B18</f>
        <v>0.0900189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27088867328</v>
      </c>
    </row>
    <row r="23" spans="1:2" x14ac:dyDescent="0.25">
      <c r="A23" t="s">
        <v>24</v>
      </c>
      <c r="B23" s="11">
        <v>9303506000</v>
      </c>
    </row>
    <row r="24" spans="1:2" x14ac:dyDescent="0.25">
      <c r="A24" t="s">
        <v>25</v>
      </c>
      <c r="B24" s="10">
        <f>B22/(B22+B23)</f>
        <v>0.7443556122007037</v>
      </c>
    </row>
    <row r="25" spans="1:2" x14ac:dyDescent="0.25">
      <c r="A25" t="s">
        <v>26</v>
      </c>
      <c r="B25" s="10">
        <f>1-B24</f>
        <v>0.2556443877992963</v>
      </c>
    </row>
    <row r="26" spans="1:2" x14ac:dyDescent="0.25">
      <c r="A26" t="s">
        <v>27</v>
      </c>
      <c r="B26" s="12">
        <f>B24*B20+B25*B21*(1-B8)</f>
        <v>0.07805890469160034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4702755000</v>
      </c>
      <c r="C29" s="8" t="s">
        <v>30</v>
      </c>
    </row>
    <row r="30" spans="1:2" x14ac:dyDescent="0.25">
      <c r="A30" t="s">
        <v>31</v>
      </c>
      <c r="B30" s="11">
        <v>9100819000</v>
      </c>
    </row>
    <row r="31" spans="1:2" x14ac:dyDescent="0.25">
      <c r="A31" t="s">
        <v>32</v>
      </c>
      <c r="B31" s="13">
        <v>160573000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0.03827025829324082</v>
      </c>
      <c r="C5" s="10">
        <f>Assumptions!B6</f>
        <v>0.03827025829324082</v>
      </c>
      <c r="D5" s="10">
        <f>Assumptions!B6</f>
        <v>0.03827025829324082</v>
      </c>
      <c r="E5" s="10">
        <f>Assumptions!B6</f>
        <v>0.03827025829324082</v>
      </c>
      <c r="F5" s="10">
        <f>Assumptions!B6</f>
        <v>0.03827025829324082</v>
      </c>
    </row>
    <row r="6" spans="1:6" x14ac:dyDescent="0.25">
      <c r="A6" t="s">
        <v>43</v>
      </c>
      <c r="B6" s="18">
        <f>Assumptions!B29*(1+B5)</f>
        <v>4882730648.53983</v>
      </c>
      <c r="C6" s="18">
        <f>B6*(1+C5)</f>
        <v>5069594011.635773</v>
      </c>
      <c r="D6" s="18">
        <f>C6*(1+D5)</f>
        <v>5263608683.902941</v>
      </c>
      <c r="E6" s="18">
        <f>D6*(1+E5)</f>
        <v>5465048347.790452</v>
      </c>
      <c r="F6" s="18">
        <f>E6*(1+F5)</f>
        <v>5674197159.645442</v>
      </c>
    </row>
    <row r="7" spans="1:6" x14ac:dyDescent="0.25">
      <c r="A7" t="s">
        <v>5</v>
      </c>
      <c r="B7" s="10">
        <f>Assumptions!B7</f>
        <v>0.2814788986220446</v>
      </c>
      <c r="C7" s="10">
        <f>Assumptions!B7</f>
        <v>0.2814788986220446</v>
      </c>
      <c r="D7" s="10">
        <f>Assumptions!B7</f>
        <v>0.2814788986220446</v>
      </c>
      <c r="E7" s="10">
        <f>Assumptions!B7</f>
        <v>0.2814788986220446</v>
      </c>
      <c r="F7" s="10">
        <f>Assumptions!B7</f>
        <v>0.2814788986220446</v>
      </c>
    </row>
    <row r="8" spans="1:6" x14ac:dyDescent="0.25">
      <c r="A8" t="s">
        <v>44</v>
      </c>
      <c r="B8" s="18">
        <f>B6*B7</f>
        <v>1374385645.219093</v>
      </c>
      <c r="C8" s="18">
        <f>C6*C7</f>
        <v>1426983738.8561502</v>
      </c>
      <c r="D8" s="18">
        <f>D6*D7</f>
        <v>1481594775.1224296</v>
      </c>
      <c r="E8" s="18">
        <f>E6*E7</f>
        <v>1538295789.852281</v>
      </c>
      <c r="F8" s="18">
        <f>F6*F7</f>
        <v>1597166767.061333</v>
      </c>
    </row>
    <row r="9" spans="1:6" x14ac:dyDescent="0.25">
      <c r="A9" t="s">
        <v>45</v>
      </c>
      <c r="B9" s="18">
        <f>B8*(1-Assumptions!B8)</f>
        <v>1188911796.0533893</v>
      </c>
      <c r="C9" s="18">
        <f>C8*(1-Assumptions!B8)</f>
        <v>1234411757.5762334</v>
      </c>
      <c r="D9" s="18">
        <f>D8*(1-Assumptions!B8)</f>
        <v>1281653014.378889</v>
      </c>
      <c r="E9" s="18">
        <f>E8*(1-Assumptions!B8)</f>
        <v>1330702206.28148</v>
      </c>
      <c r="F9" s="18">
        <f>F8*(1-Assumptions!B8)</f>
        <v>1381628523.4272578</v>
      </c>
    </row>
    <row r="10" spans="1:6" x14ac:dyDescent="0.25">
      <c r="A10" t="s">
        <v>46</v>
      </c>
      <c r="B10" s="18">
        <f>B6*Assumptions!B9</f>
        <v>715228777.4507928</v>
      </c>
      <c r="C10" s="18">
        <f>C6*Assumptions!B9</f>
        <v>742600767.5025935</v>
      </c>
      <c r="D10" s="18">
        <f>D6*Assumptions!B9</f>
        <v>771020290.6836766</v>
      </c>
      <c r="E10" s="18">
        <f>E6*Assumptions!B9</f>
        <v>800527436.3574706</v>
      </c>
      <c r="F10" s="18">
        <f>F6*Assumptions!B9</f>
        <v>831163828.1176969</v>
      </c>
    </row>
    <row r="11" spans="1:6" x14ac:dyDescent="0.25">
      <c r="A11" t="s">
        <v>47</v>
      </c>
      <c r="B11" s="18">
        <f>-B6*Assumptions!B10</f>
        <v>-3296512644.6250596</v>
      </c>
      <c r="C11" s="18">
        <f>-C6*Assumptions!B10</f>
        <v>-3422671035.001795</v>
      </c>
      <c r="D11" s="18">
        <f>-D6*Assumptions!B10</f>
        <v>-3553657539.564108</v>
      </c>
      <c r="E11" s="18">
        <f>-E6*Assumptions!B10</f>
        <v>-3689656931.488949</v>
      </c>
      <c r="F11" s="18">
        <f>-F6*Assumptions!B10</f>
        <v>-3830861055.270478</v>
      </c>
    </row>
    <row r="12" spans="1:6" x14ac:dyDescent="0.25">
      <c r="A12" t="s">
        <v>48</v>
      </c>
      <c r="B12" s="18">
        <f>-(B6-Assumptions!B29)*Assumptions!B11</f>
        <v>161674230.8163872</v>
      </c>
      <c r="C12" s="18">
        <f>-(C6-B6)*Assumptions!B11</f>
        <v>167861545.38909087</v>
      </c>
      <c r="D12" s="18">
        <f>-(D6-C6)*Assumptions!B11</f>
        <v>174285650.0886341</v>
      </c>
      <c r="E12" s="18">
        <f>-(E6-D6)*Assumptions!B11</f>
        <v>180955606.93433174</v>
      </c>
      <c r="F12" s="18">
        <f>-(F6-E6)*Assumptions!B11</f>
        <v>187880824.75131884</v>
      </c>
    </row>
    <row r="13" spans="1:6" x14ac:dyDescent="0.25">
      <c r="A13" s="19" t="s">
        <v>49</v>
      </c>
      <c r="B13" s="20">
        <f>B9+B10+B11+B12</f>
        <v>-1230697840.3044903</v>
      </c>
      <c r="C13" s="20">
        <f>C9+C10+C11+C12</f>
        <v>-1277796964.5338771</v>
      </c>
      <c r="D13" s="20">
        <f>D9+D10+D11+D12</f>
        <v>-1326698584.412908</v>
      </c>
      <c r="E13" s="20">
        <f>E9+E10+E11+E12</f>
        <v>-1377471681.9156663</v>
      </c>
      <c r="F13" s="20">
        <f>F9+F10+F11+F12</f>
        <v>-1430187878.974204</v>
      </c>
    </row>
    <row r="14" spans="1:6" x14ac:dyDescent="0.25">
      <c r="A14" t="s">
        <v>50</v>
      </c>
      <c r="B14" s="21">
        <f>1/(1+Assumptions!$B$26)^(1-0.5*Assumptions!$B$32)</f>
        <v>0.9631163474444989</v>
      </c>
      <c r="C14" s="21">
        <f>1/(1+Assumptions!$B$26)^(2-0.5*Assumptions!$B$32)</f>
        <v>0.8933800771489543</v>
      </c>
      <c r="D14" s="21">
        <f>1/(1+Assumptions!$B$26)^(3-0.5*Assumptions!$B$32)</f>
        <v>0.8286931940926947</v>
      </c>
      <c r="E14" s="21">
        <f>1/(1+Assumptions!$B$26)^(4-0.5*Assumptions!$B$32)</f>
        <v>0.768690087792335</v>
      </c>
      <c r="F14" s="21">
        <f>1/(1+Assumptions!$B$26)^(5-0.5*Assumptions!$B$32)</f>
        <v>0.7130316204866688</v>
      </c>
    </row>
    <row r="15" spans="1:6" x14ac:dyDescent="0.25">
      <c r="A15" s="19" t="s">
        <v>51</v>
      </c>
      <c r="B15" s="20">
        <f>B13*B14</f>
        <v>-1185305208.761894</v>
      </c>
      <c r="C15" s="20">
        <f>C13*C14</f>
        <v>-1141558350.7559748</v>
      </c>
      <c r="D15" s="20">
        <f>D13*D14</f>
        <v>-1099426087.5153894</v>
      </c>
      <c r="E15" s="20">
        <f>E13*E14</f>
        <v>-1058848828.103209</v>
      </c>
      <c r="F15" s="20">
        <f>F13*F14</f>
        <v>-1019769180.9453685</v>
      </c>
    </row>
    <row r="17" spans="1:2" x14ac:dyDescent="0.25">
      <c r="A17" s="22" t="s">
        <v>52</v>
      </c>
      <c r="B17" s="23">
        <f>SUM(B15:F15)</f>
        <v>-5504907656.081836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-1430187878.974204</v>
      </c>
    </row>
    <row r="5" spans="1:2" x14ac:dyDescent="0.25">
      <c r="A5" t="s">
        <v>56</v>
      </c>
      <c r="B5" s="18">
        <f>IF(Assumptions!$B$33=0,B4,B4-Forecast!F11-Forecast!F10-Forecast!F12)</f>
        <v>1381628523.4272578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0.3202709556170619</v>
      </c>
    </row>
    <row r="7" spans="1:2" x14ac:dyDescent="0.25">
      <c r="A7" t="s">
        <v>58</v>
      </c>
      <c r="B7" s="18">
        <f>-MAX(Forecast!F9,0)*B6</f>
        <v>-442495487.5058381</v>
      </c>
    </row>
    <row r="8" spans="1:2" x14ac:dyDescent="0.25">
      <c r="A8" t="s">
        <v>59</v>
      </c>
      <c r="B8" s="18">
        <f>IF(OR(Assumptions!$B$33=0,Assumptions!B12&lt;=0),B5,MAX(B5+B7,0))</f>
        <v>939133035.9214196</v>
      </c>
    </row>
    <row r="9" spans="1:2" x14ac:dyDescent="0.25">
      <c r="A9" t="s">
        <v>60</v>
      </c>
      <c r="B9" s="18">
        <f>B8*(1+Assumptions!B12)/(Assumptions!B26-Assumptions!B12)</f>
        <v>18142314987.739357</v>
      </c>
    </row>
    <row r="10" spans="1:2" x14ac:dyDescent="0.25">
      <c r="A10" t="s">
        <v>61</v>
      </c>
      <c r="B10" s="18">
        <f>B9/(1+Assumptions!B26)^(5-0.5*Assumptions!B32)</f>
        <v>12936044255.087372</v>
      </c>
    </row>
    <row r="11" spans="1:2" x14ac:dyDescent="0.25">
      <c r="A11" t="s">
        <v>62</v>
      </c>
      <c r="B11" s="18">
        <f>Forecast!B17+B10</f>
        <v>7431136599.005536</v>
      </c>
    </row>
    <row r="12" spans="1:2" x14ac:dyDescent="0.25">
      <c r="A12" t="s">
        <v>63</v>
      </c>
      <c r="B12" s="18">
        <f>-Assumptions!B30</f>
        <v>-9100819000</v>
      </c>
    </row>
    <row r="13" spans="1:2" x14ac:dyDescent="0.25">
      <c r="A13" t="s">
        <v>64</v>
      </c>
      <c r="B13" s="18">
        <f>B11+B12</f>
        <v>-1669682400.994464</v>
      </c>
    </row>
    <row r="14" spans="1:2" x14ac:dyDescent="0.25">
      <c r="A14" s="19" t="s">
        <v>65</v>
      </c>
      <c r="B14" s="24">
        <f>B13/Assumptions!B31</f>
        <v>-10.398276179647038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2428330595.17903</v>
      </c>
    </row>
    <row r="18" spans="1:2" x14ac:dyDescent="0.25">
      <c r="A18" t="s">
        <v>60</v>
      </c>
      <c r="B18" s="18">
        <f>B17*Assumptions!B13</f>
        <v>38296905821.990456</v>
      </c>
    </row>
    <row r="19" spans="1:2" x14ac:dyDescent="0.25">
      <c r="A19" t="s">
        <v>61</v>
      </c>
      <c r="B19" s="18">
        <f>B18/(1+Assumptions!B26)^(5-0.5*Assumptions!B32)</f>
        <v>27306904817.879196</v>
      </c>
    </row>
    <row r="20" spans="1:2" x14ac:dyDescent="0.25">
      <c r="A20" t="s">
        <v>62</v>
      </c>
      <c r="B20" s="18">
        <f>Forecast!B17+B19</f>
        <v>21801997161.79736</v>
      </c>
    </row>
    <row r="21" spans="1:2" x14ac:dyDescent="0.25">
      <c r="A21" t="s">
        <v>63</v>
      </c>
      <c r="B21" s="18">
        <f>-Assumptions!B30</f>
        <v>-9100819000</v>
      </c>
    </row>
    <row r="22" spans="1:2" x14ac:dyDescent="0.25">
      <c r="A22" t="s">
        <v>64</v>
      </c>
      <c r="B22" s="18">
        <f>B20+B21</f>
        <v>12701178161.79736</v>
      </c>
    </row>
    <row r="23" spans="1:2" x14ac:dyDescent="0.25">
      <c r="A23" s="19" t="s">
        <v>65</v>
      </c>
      <c r="B23" s="25">
        <f>B22/Assumptions!B31</f>
        <v>79.09908989554508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160.3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-10.398276179647038</v>
      </c>
    </row>
    <row r="29" spans="1:2" x14ac:dyDescent="0.25">
      <c r="A29" s="19" t="s">
        <v>73</v>
      </c>
      <c r="B29" s="12">
        <f>B28/B26-1</f>
        <v>-1.0648675993739678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0.058059</v>
      </c>
      <c r="B5" s="31">
        <v>24.121352239090925</v>
      </c>
      <c r="C5" s="31">
        <v>24.696162796933553</v>
      </c>
      <c r="D5" s="31">
        <v>25.27097335477613</v>
      </c>
      <c r="E5" s="31">
        <v>25.845783912618757</v>
      </c>
      <c r="F5" s="31">
        <v>26.42059447046136</v>
      </c>
    </row>
    <row r="6" spans="1:6" x14ac:dyDescent="0.25">
      <c r="A6" s="30">
        <v>0.068059</v>
      </c>
      <c r="B6" s="31">
        <v>3.6692741118584067</v>
      </c>
      <c r="C6" s="31">
        <v>4.139303066447375</v>
      </c>
      <c r="D6" s="31">
        <v>4.609332021036296</v>
      </c>
      <c r="E6" s="31">
        <v>5.07936097562524</v>
      </c>
      <c r="F6" s="31">
        <v>5.5493899302141605</v>
      </c>
    </row>
    <row r="7" spans="1:6" x14ac:dyDescent="0.25">
      <c r="A7" s="30">
        <v>0.078059</v>
      </c>
      <c r="B7" s="31">
        <v>-11.184366409130554</v>
      </c>
      <c r="C7" s="31">
        <v>-10.791382826887295</v>
      </c>
      <c r="D7" s="32">
        <v>-10.39839924464406</v>
      </c>
      <c r="E7" s="31">
        <v>-10.005415662400813</v>
      </c>
      <c r="F7" s="31">
        <v>-9.612432080157566</v>
      </c>
    </row>
    <row r="8" spans="1:6" x14ac:dyDescent="0.25">
      <c r="A8" s="30">
        <v>0.088059</v>
      </c>
      <c r="B8" s="31">
        <v>-22.365541856179252</v>
      </c>
      <c r="C8" s="31">
        <v>-22.03136296097125</v>
      </c>
      <c r="D8" s="31">
        <v>-21.697184065763285</v>
      </c>
      <c r="E8" s="31">
        <v>-21.363005170555283</v>
      </c>
      <c r="F8" s="31">
        <v>-21.028826275347317</v>
      </c>
    </row>
    <row r="9" spans="1:6" x14ac:dyDescent="0.25">
      <c r="A9" s="30">
        <v>0.098059</v>
      </c>
      <c r="B9" s="31">
        <v>-31.0134552093619</v>
      </c>
      <c r="C9" s="31">
        <v>-30.725459662879512</v>
      </c>
      <c r="D9" s="31">
        <v>-30.43746411639712</v>
      </c>
      <c r="E9" s="31">
        <v>-30.149468569914742</v>
      </c>
      <c r="F9" s="31">
        <v>-29.861473023432353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4702755000</v>
      </c>
      <c r="C5" s="18">
        <v>4165187000</v>
      </c>
      <c r="D5" s="18">
        <v>4275357000</v>
      </c>
      <c r="E5" s="18">
        <v>4201662000</v>
      </c>
      <c r="F5" s="8" t="s">
        <v>84</v>
      </c>
    </row>
    <row r="6" spans="1:6" x14ac:dyDescent="0.25">
      <c r="A6" t="s">
        <v>44</v>
      </c>
      <c r="B6" s="18">
        <v>1559971000</v>
      </c>
      <c r="C6" s="18">
        <v>1355362000</v>
      </c>
      <c r="D6" s="18">
        <v>1067147000</v>
      </c>
      <c r="E6" s="18">
        <v>920982000</v>
      </c>
      <c r="F6" s="8" t="s">
        <v>85</v>
      </c>
    </row>
    <row r="7" spans="1:6" x14ac:dyDescent="0.25">
      <c r="A7" t="s">
        <v>86</v>
      </c>
      <c r="B7" s="18">
        <v>734745000</v>
      </c>
      <c r="C7" s="18">
        <v>669972000</v>
      </c>
      <c r="D7" s="18">
        <v>604327000</v>
      </c>
      <c r="E7" s="18">
        <v>535655000</v>
      </c>
      <c r="F7" s="8" t="s">
        <v>87</v>
      </c>
    </row>
    <row r="8" spans="1:6" x14ac:dyDescent="0.25">
      <c r="A8" t="s">
        <v>88</v>
      </c>
      <c r="B8" s="18">
        <v>3561399000</v>
      </c>
      <c r="C8" s="18">
        <v>2937124000</v>
      </c>
      <c r="D8" s="18">
        <v>2805973000</v>
      </c>
      <c r="E8" s="18">
        <v>2444420000</v>
      </c>
      <c r="F8" s="8" t="s">
        <v>89</v>
      </c>
    </row>
    <row r="9" spans="1:6" x14ac:dyDescent="0.25">
      <c r="A9" t="s">
        <v>90</v>
      </c>
      <c r="B9" s="18">
        <v>85996000</v>
      </c>
      <c r="C9" s="18">
        <v>98967000</v>
      </c>
      <c r="D9" s="18">
        <v>-1912132000</v>
      </c>
      <c r="E9" s="18">
        <v>363764000</v>
      </c>
      <c r="F9" s="8" t="s">
        <v>91</v>
      </c>
    </row>
    <row r="10" spans="1:6" x14ac:dyDescent="0.25">
      <c r="A10" t="s">
        <v>92</v>
      </c>
      <c r="B10" s="18">
        <v>9303506000</v>
      </c>
      <c r="C10" s="18">
        <v>8129213000</v>
      </c>
      <c r="D10" s="18">
        <v>7122906000</v>
      </c>
      <c r="E10" s="18">
        <v>8370016000</v>
      </c>
      <c r="F10" s="8" t="s">
        <v>93</v>
      </c>
    </row>
    <row r="11" spans="1:6" x14ac:dyDescent="0.25">
      <c r="A11" t="s">
        <v>94</v>
      </c>
      <c r="B11" s="18">
        <v>202687000</v>
      </c>
      <c r="C11" s="18">
        <v>307340000</v>
      </c>
      <c r="D11" s="18">
        <v>15404000</v>
      </c>
      <c r="E11" s="18">
        <v>51554000</v>
      </c>
      <c r="F11" s="8" t="s">
        <v>95</v>
      </c>
    </row>
    <row r="12" spans="1:6" x14ac:dyDescent="0.25">
      <c r="A12" t="s">
        <v>32</v>
      </c>
      <c r="B12" s="34">
        <v>160573000</v>
      </c>
      <c r="C12" s="34">
        <v>152666000</v>
      </c>
      <c r="D12" s="34">
        <v>145166000</v>
      </c>
      <c r="E12" s="34">
        <v>138096000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2026-09-19T00:07:07Z</dcterms:modified>
</cp:coreProperties>
</file>