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<sst xmlns="http://schemas.openxmlformats.org/spreadsheetml/2006/main" count="121" uniqueCount="108">
  <si>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Atmos Energy Corporation (ATO)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</si>
  <si>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</si>
  <si>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</si>
  <si>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</si>
  <si>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</si>
  <si>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</si>
  <si>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</si>
  <si>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</si>
  <si>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</si>
  <si>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</si>
  <si>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</si>
  <si>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</si>
  <si>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</si>
  <si>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</si>
  <si>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</si>
  <si>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</si>
  <si>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</si>
  <si>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</si>
  <si>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</si>
  <si>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</si>
  <si>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</si>
  <si>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</si>
  <si>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</si>
  <si>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</si>
  <si>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9.1x interest cover. Book interest / average debt was lower, at 2.0%.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</si>
  <si>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</si>
  <si>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</si>
  <si>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</si>
  <si>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</si>
  <si>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</si>
  <si>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</si>
  <si>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</si>
  <si>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</si>
  <si>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</si>
  <si>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</si>
  <si>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</si>
  <si>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</si>
  <si>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</si>
  <si>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</si>
  <si>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</si>
  <si>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</si>
  <si>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</si>
  <si>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</si>
  <si>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</si>
  <si>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</si>
  <si>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</si>
  <si>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</si>
  <si>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</si>
  <si>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</si>
  <si>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</si>
  <si>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</si>
  <si>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</si>
  <si>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</si>
  <si>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</si>
  <si>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</si>
  <si>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</si>
  <si>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</si>
  <si>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</si>
  <si>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</si>
  <si>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</si>
  <si>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</si>
  <si>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</si>
  <si>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</si>
  <si>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</si>
  <si>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</si>
  <si>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</si>
  <si>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</si>
  <si>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</si>
  <si>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</si>
  <si>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</si>
  <si>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</si>
  <si>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</si>
  <si>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</si>
  <si>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</si>
  <si>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</si>
  <si>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</si>
  <si>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</si>
  <si>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</si>
  <si>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</si>
  <si>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</si>
  <si>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</si>
  <si>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</si>
  <si>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</si>
  <si>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</si>
  <si>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</si>
  <si>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</si>
  <si>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</si>
  <si>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</si>
  <si>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</si>
  <si>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</si>
  <si>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</si>
  <si>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</si>
  <si>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</si>
  <si>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</si>
  <si>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</si>
  <si>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</si>
  <si>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</si>
  <si>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</si>
  <si>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</si>
  <si>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</si>
  <si>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</si>
  <si>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</si>
  <si>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</si>
  <si>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</si>
  <si>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</si>
  <si>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</si>
  <si>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67.5% of revenue against depreciation of 14.6%.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</si>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</sst>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0.09171949633778498</v>
      </c>
    </row>
    <row r="7" spans="1:2" x14ac:dyDescent="0.25">
      <c r="A7" t="s">
        <v>4</v>
      </c>
      <c r="B7" s="5">
        <v>0.2814788986220446</v>
      </c>
    </row>
    <row r="8" spans="1:2" x14ac:dyDescent="0.25">
      <c r="A8" t="s">
        <v>5</v>
      </c>
      <c r="B8" s="5">
        <v>0.13495036841434488</v>
      </c>
    </row>
    <row r="9" spans="1:2" x14ac:dyDescent="0.25">
      <c r="A9" t="s">
        <v>6</v>
      </c>
      <c r="B9" s="5">
        <v>0.14648130911433346</v>
      </c>
    </row>
    <row r="10" spans="1:3" x14ac:dyDescent="0.25">
      <c r="A10" t="s">
        <v>7</v>
      </c>
      <c r="B10" s="5">
        <v>0.6751371070634163</v>
      </c>
      <c r="C10" s="6" t="s">
        <v>8</v>
      </c>
    </row>
    <row r="11" spans="1:2" x14ac:dyDescent="0.25">
      <c r="A11" t="s">
        <v>9</v>
      </c>
      <c r="B11" s="5">
        <v>0.03836423228747703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16.66268855928141</v>
      </c>
    </row>
    <row r="14" spans="1:3" x14ac:dyDescent="0.25">
      <c r="A14" t="s">
        <v>12</v>
      </c>
      <c r="B14" s="5">
        <v>0.07093944225931971</v>
      </c>
      <c r="C14" s="6" t="s">
        <v>13</v>
      </c>
    </row>
    <row r="15" spans="1:3" x14ac:dyDescent="0.25">
      <c r="A15" t="s">
        <v>14</v>
      </c>
      <c r="B15" s="5">
        <v>0.14648130911433346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0.7098899999999999</v>
      </c>
      <c r="C19" s="6" t="s">
        <v>21</v>
      </c>
    </row>
    <row r="20" spans="1:2" x14ac:dyDescent="0.25">
      <c r="A20" t="s">
        <v>22</v>
      </c>
      <c r="B20" s="9">
        <f>B17+B19*B18</f>
        <v>0.078968347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29135319040</v>
      </c>
    </row>
    <row r="23" spans="1:2" x14ac:dyDescent="0.25">
      <c r="A23" t="s">
        <v>26</v>
      </c>
      <c r="B23" s="10">
        <v>9303506000</v>
      </c>
    </row>
    <row r="24" spans="1:2" x14ac:dyDescent="0.25">
      <c r="A24" t="s">
        <v>27</v>
      </c>
      <c r="B24" s="9">
        <f>B22/(B22+B23)</f>
        <v>0.7579659110204686</v>
      </c>
    </row>
    <row r="25" spans="1:2" x14ac:dyDescent="0.25">
      <c r="A25" t="s">
        <v>28</v>
      </c>
      <c r="B25" s="9">
        <f>1-B24</f>
        <v>0.24203408897953138</v>
      </c>
    </row>
    <row r="26" spans="1:2" x14ac:dyDescent="0.25">
      <c r="A26" t="s">
        <v>29</v>
      </c>
      <c r="B26" s="11">
        <f>B24*B20+B25*B21*(1-B8)</f>
        <v>0.07093944225931971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4702755000</v>
      </c>
      <c r="C29" s="6" t="s">
        <v>32</v>
      </c>
    </row>
    <row r="30" spans="1:2" x14ac:dyDescent="0.25">
      <c r="A30" t="s">
        <v>33</v>
      </c>
      <c r="B30" s="10">
        <v>9100819000</v>
      </c>
    </row>
    <row r="31" spans="1:2" x14ac:dyDescent="0.25">
      <c r="A31" t="s">
        <v>34</v>
      </c>
      <c r="B31" s="12">
        <v>160573000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0.09171949633778498</v>
      </c>
      <c r="C5" s="5">
        <v>0.12043730084540094</v>
      </c>
      <c r="D5" s="5">
        <v>0.10850763823972583</v>
      </c>
      <c r="E5" s="5">
        <v>0.09657797563405071</v>
      </c>
      <c r="F5" s="5">
        <v>0.08464831302837558</v>
      </c>
      <c r="G5" s="5">
        <v>0.07271865042270047</v>
      </c>
      <c r="H5" s="5">
        <v>0.06078898781702535</v>
      </c>
      <c r="I5" s="5">
        <v>0.048859325211350224</v>
      </c>
      <c r="J5" s="5">
        <v>0.03692966260567511</v>
      </c>
      <c r="K5" s="5">
        <v>0.024999999999999994</v>
      </c>
    </row>
    <row r="6" spans="1:11" x14ac:dyDescent="0.25">
      <c r="A6" t="s">
        <v>50</v>
      </c>
      <c r="B6" s="18">
        <f>Assumptions!B29*(1+B5)</f>
        <v>5134089320</v>
      </c>
      <c r="C6" s="18">
        <f>B6*(1+C5)</f>
        <v>5752425180</v>
      </c>
      <c r="D6" s="18">
        <f>C6*(1+D5)</f>
        <v>6376607250.43253</v>
      </c>
      <c r="E6" s="18">
        <f>D6*(1+E5)</f>
        <v>6992447070.092715</v>
      </c>
      <c r="F6" s="18">
        <f>E6*(1+F5)</f>
        <v>7584345918.516271</v>
      </c>
      <c r="G6" s="18">
        <f>F6*(1+G5)</f>
        <v>8135869318.04969</v>
      </c>
      <c r="H6" s="18">
        <f>G6*(1+H5)</f>
        <v>8630440578.905523</v>
      </c>
      <c r="I6" s="18">
        <f>H6*(1+I5)</f>
        <v>9052118081.867502</v>
      </c>
      <c r="J6" s="18">
        <f>I6*(1+J5)</f>
        <v>9386409748.4976</v>
      </c>
      <c r="K6" s="18">
        <f>J6*(1+K5)</f>
        <v>9621069992.21004</v>
      </c>
    </row>
    <row r="7" spans="1:11" x14ac:dyDescent="0.25">
      <c r="A7" t="s">
        <v>4</v>
      </c>
      <c r="B7" s="9">
        <f>Assumptions!B7</f>
        <v>0.2814788986220446</v>
      </c>
      <c r="C7" s="9">
        <f>Assumptions!B7</f>
        <v>0.2814788986220446</v>
      </c>
      <c r="D7" s="9">
        <f>Assumptions!B7</f>
        <v>0.2814788986220446</v>
      </c>
      <c r="E7" s="9">
        <f>Assumptions!B7</f>
        <v>0.2814788986220446</v>
      </c>
      <c r="F7" s="9">
        <f>Assumptions!B7</f>
        <v>0.2814788986220446</v>
      </c>
      <c r="G7" s="9">
        <f>Assumptions!B7</f>
        <v>0.2814788986220446</v>
      </c>
      <c r="H7" s="9">
        <f>Assumptions!B7</f>
        <v>0.2814788986220446</v>
      </c>
      <c r="I7" s="9">
        <f>Assumptions!B7</f>
        <v>0.2814788986220446</v>
      </c>
      <c r="J7" s="9">
        <f>Assumptions!B7</f>
        <v>0.2814788986220446</v>
      </c>
      <c r="K7" s="9">
        <f>Assumptions!B7</f>
        <v>0.2814788986220446</v>
      </c>
    </row>
    <row r="8" spans="1:11" x14ac:dyDescent="0.25">
      <c r="A8" t="s">
        <v>51</v>
      </c>
      <c r="B8" s="18">
        <f>B6*B7</f>
        <v>1445137807.220802</v>
      </c>
      <c r="C8" s="18">
        <f>C6*C7</f>
        <v>1619186304.0721169</v>
      </c>
      <c r="D8" s="18">
        <f>D6*D7</f>
        <v>1794880385.797093</v>
      </c>
      <c r="E8" s="18">
        <f>E6*E7</f>
        <v>1968226299.9626403</v>
      </c>
      <c r="F8" s="18">
        <f>F6*F7</f>
        <v>2134833335.9125593</v>
      </c>
      <c r="G8" s="18">
        <f>G6*G7</f>
        <v>2290075534.977512</v>
      </c>
      <c r="H8" s="18">
        <f>H6*H7</f>
        <v>2429286908.773328</v>
      </c>
      <c r="I8" s="18">
        <f>I6*I7</f>
        <v>2547980227.8807597</v>
      </c>
      <c r="J8" s="18">
        <f>J6*J7</f>
        <v>2642076278.0223274</v>
      </c>
      <c r="K8" s="18">
        <f>K6*K7</f>
        <v>2708128184.972885</v>
      </c>
    </row>
    <row r="9" spans="1:11" x14ac:dyDescent="0.25">
      <c r="A9" t="s">
        <v>52</v>
      </c>
      <c r="B9" s="18">
        <f>B8*(1-Assumptions!B8)</f>
        <v>1250115927.7268562</v>
      </c>
      <c r="C9" s="18">
        <f>C8*(1-Assumptions!B8)</f>
        <v>1400676515.8061233</v>
      </c>
      <c r="D9" s="18">
        <f>D8*(1-Assumptions!B8)</f>
        <v>1552660616.4740937</v>
      </c>
      <c r="E9" s="18">
        <f>E8*(1-Assumptions!B8)</f>
        <v>1702613435.659879</v>
      </c>
      <c r="F9" s="18">
        <f>F8*(1-Assumptions!B8)</f>
        <v>1846736790.7279344</v>
      </c>
      <c r="G9" s="18">
        <f>G8*(1-Assumptions!B8)</f>
        <v>1981028997.8356185</v>
      </c>
      <c r="H9" s="18">
        <f>H8*(1-Assumptions!B8)</f>
        <v>2101453745.450222</v>
      </c>
      <c r="I9" s="18">
        <f>I8*(1-Assumptions!B8)</f>
        <v>2204129357.415785</v>
      </c>
      <c r="J9" s="18">
        <f>J8*(1-Assumptions!B8)</f>
        <v>2285527110.924413</v>
      </c>
      <c r="K9" s="18">
        <f>K8*(1-Assumptions!B8)</f>
        <v>2342665288.697523</v>
      </c>
    </row>
    <row r="10" spans="1:11" x14ac:dyDescent="0.25">
      <c r="A10" t="s">
        <v>53</v>
      </c>
      <c r="B10" s="18">
        <f>B6*Assumptions!B9</f>
        <v>752048124.7035182</v>
      </c>
      <c r="C10" s="18">
        <f>C6*Assumptions!B9</f>
        <v>842622770.9486554</v>
      </c>
      <c r="D10" s="18">
        <f>D6*Assumptions!B9</f>
        <v>934053777.7513075</v>
      </c>
      <c r="E10" s="18">
        <f>E6*Assumptions!B9</f>
        <v>1024262800.7398664</v>
      </c>
      <c r="F10" s="18">
        <f>F6*Assumptions!B9</f>
        <v>1110964918.9202151</v>
      </c>
      <c r="G10" s="18">
        <f>G6*Assumptions!B9</f>
        <v>1191752788.491058</v>
      </c>
      <c r="H10" s="18">
        <f>H6*Assumptions!B9</f>
        <v>1264198234.231547</v>
      </c>
      <c r="I10" s="18">
        <f>I6*Assumptions!B9</f>
        <v>1325966106.8894808</v>
      </c>
      <c r="J10" s="18">
        <f>J6*Assumptions!B9</f>
        <v>1374933587.84347</v>
      </c>
      <c r="K10" s="18">
        <f>K6*Assumptions!B9</f>
        <v>1409306927.5395565</v>
      </c>
    </row>
    <row r="11" spans="1:11" x14ac:dyDescent="0.25">
      <c r="A11" t="s">
        <v>54</v>
      </c>
      <c r="B11" s="18">
        <f>-B6*B19</f>
        <v>-3466214210.909982</v>
      </c>
      <c r="C11" s="18">
        <f>-C6*C19</f>
        <v>-3600627255.8805614</v>
      </c>
      <c r="D11" s="18">
        <f>-D6*D19</f>
        <v>-3677561459.258869</v>
      </c>
      <c r="E11" s="18">
        <f>-E6*E19</f>
        <v>-3688669107.297617</v>
      </c>
      <c r="F11" s="18">
        <f>-F6*F19</f>
        <v>-3627720511.9352236</v>
      </c>
      <c r="G11" s="18">
        <f>-G6*G19</f>
        <v>-3491197495.883857</v>
      </c>
      <c r="H11" s="18">
        <f>-H6*H19</f>
        <v>-3278762492.4885654</v>
      </c>
      <c r="I11" s="18">
        <f>-I6*I19</f>
        <v>-2993550582.201738</v>
      </c>
      <c r="J11" s="18">
        <f>-J6*J19</f>
        <v>-2642242519.7501774</v>
      </c>
      <c r="K11" s="18">
        <f>-K6*K19</f>
        <v>-2234893235.4125066</v>
      </c>
    </row>
    <row r="12" spans="1:11" x14ac:dyDescent="0.25">
      <c r="A12" t="s">
        <v>55</v>
      </c>
      <c r="B12" s="18">
        <f>-(B6-Assumptions!B29)*Assumptions!B11</f>
        <v>-16547810.04604095</v>
      </c>
      <c r="C12" s="18">
        <f>-(C6-B6)*Assumptions!B11</f>
        <v>-23721980.56471688</v>
      </c>
      <c r="D12" s="18">
        <f>-(D6-C6)*Assumptions!B11</f>
        <v>-23946265.939751945</v>
      </c>
      <c r="E12" s="18">
        <f>-(E6-D6)*Assumptions!B11</f>
        <v>-23626221.893321298</v>
      </c>
      <c r="F12" s="18">
        <f>-(F6-E6)*Assumptions!B11</f>
        <v>-22707744.911611438</v>
      </c>
      <c r="G12" s="18">
        <f>-(G6-F6)*Assumptions!B11</f>
        <v>-21158771.811679114</v>
      </c>
      <c r="H12" s="18">
        <f>-(H6-G6)*Assumptions!B11</f>
        <v>-18973846.734183576</v>
      </c>
      <c r="I12" s="18">
        <f>-(I6-H6)*Assumptions!B11</f>
        <v>-16177333.674036644</v>
      </c>
      <c r="J12" s="18">
        <f>-(J6-I6)*Assumptions!B11</f>
        <v>-12824843.150364928</v>
      </c>
      <c r="K12" s="18">
        <f>-(K6-J6)*Assumptions!B11</f>
        <v>-9002560.098419966</v>
      </c>
    </row>
    <row r="13" spans="1:11" x14ac:dyDescent="0.25">
      <c r="A13" s="19" t="s">
        <v>56</v>
      </c>
      <c r="B13" s="20">
        <f>B9+B10+B11+B12</f>
        <v>-1480597968.5256488</v>
      </c>
      <c r="C13" s="20">
        <f>C9+C10+C11+C12</f>
        <v>-1381049949.6904993</v>
      </c>
      <c r="D13" s="20">
        <f>D9+D10+D11+D12</f>
        <v>-1214793330.97322</v>
      </c>
      <c r="E13" s="20">
        <f>E9+E10+E11+E12</f>
        <v>-985419092.7911928</v>
      </c>
      <c r="F13" s="20">
        <f>F9+F10+F11+F12</f>
        <v>-692726547.1986855</v>
      </c>
      <c r="G13" s="20">
        <f>G9+G10+G11+G12</f>
        <v>-339574481.3688595</v>
      </c>
      <c r="H13" s="20">
        <f>H9+H10+H11+H12</f>
        <v>67915640.45902035</v>
      </c>
      <c r="I13" s="20">
        <f>I9+I10+I11+I12</f>
        <v>520367548.4294909</v>
      </c>
      <c r="J13" s="20">
        <f>J9+J10+J11+J12</f>
        <v>1005393335.867341</v>
      </c>
      <c r="K13" s="20">
        <f>K9+K10+K11+K12</f>
        <v>1508076420.7261531</v>
      </c>
    </row>
    <row r="14" spans="1:11" x14ac:dyDescent="0.25">
      <c r="A14" t="s">
        <v>57</v>
      </c>
      <c r="B14" s="21">
        <f>1/(1+Assumptions!$B$26)^(1-0.5*Assumptions!$B$32)</f>
        <v>0.9663123789920268</v>
      </c>
      <c r="C14" s="21">
        <f>1/(1+Assumptions!$B$26)^(2-0.5*Assumptions!$B$32)</f>
        <v>0.9023034738112128</v>
      </c>
      <c r="D14" s="21">
        <f>1/(1+Assumptions!$B$26)^(3-0.5*Assumptions!$B$32)</f>
        <v>0.8425345432302482</v>
      </c>
      <c r="E14" s="21">
        <f>1/(1+Assumptions!$B$26)^(4-0.5*Assumptions!$B$32)</f>
        <v>0.7867247296941324</v>
      </c>
      <c r="F14" s="21">
        <f>1/(1+Assumptions!$B$26)^(5-0.5*Assumptions!$B$32)</f>
        <v>0.7346117797607766</v>
      </c>
      <c r="G14" s="21">
        <f>1/(1+Assumptions!$B$26)^(6-0.5*Assumptions!$B$32)</f>
        <v>0.6859508117573806</v>
      </c>
      <c r="H14" s="21">
        <f>1/(1+Assumptions!$B$26)^(7-0.5*Assumptions!$B$32)</f>
        <v>0.6405131650677246</v>
      </c>
      <c r="I14" s="21">
        <f>1/(1+Assumptions!$B$26)^(8-0.5*Assumptions!$B$32)</f>
        <v>0.5980853256431182</v>
      </c>
      <c r="J14" s="21">
        <f>1/(1+Assumptions!$B$26)^(9-0.5*Assumptions!$B$32)</f>
        <v>0.5584679226879166</v>
      </c>
      <c r="K14" s="21">
        <f>1/(1+Assumptions!$B$26)^(10-0.5*Assumptions!$B$32)</f>
        <v>0.5214747918049766</v>
      </c>
    </row>
    <row r="15" spans="1:11" x14ac:dyDescent="0.25">
      <c r="A15" s="19" t="s">
        <v>58</v>
      </c>
      <c r="B15" s="20">
        <f>B13*B14</f>
        <v>-1430720145.2967818</v>
      </c>
      <c r="C15" s="20">
        <f>C13*C14</f>
        <v>-1246126167.112538</v>
      </c>
      <c r="D15" s="20">
        <f>D13*D14</f>
        <v>-1023505344.2306738</v>
      </c>
      <c r="E15" s="20">
        <f>E13*E14</f>
        <v>-775253569.4115883</v>
      </c>
      <c r="F15" s="20">
        <f>F13*F14</f>
        <v>-508885081.725164</v>
      </c>
      <c r="G15" s="20">
        <f>G13*G14</f>
        <v>-232931391.14706072</v>
      </c>
      <c r="H15" s="20">
        <f>H13*H14</f>
        <v>43500861.82800873</v>
      </c>
      <c r="I15" s="20">
        <f>I13*I14</f>
        <v>311224194.65656316</v>
      </c>
      <c r="J15" s="20">
        <f>J13*J14</f>
        <v>561479927.7661088</v>
      </c>
      <c r="K15" s="20">
        <f>K13*K14</f>
        <v>786423837.5241649</v>
      </c>
    </row>
    <row r="17" spans="1:2" x14ac:dyDescent="0.25">
      <c r="A17" s="22" t="s">
        <v>59</v>
      </c>
      <c r="B17" s="23">
        <f>SUM(B15:K15)</f>
        <v>-3514792877.148962</v>
      </c>
    </row>
    <row r="19" spans="1:11" x14ac:dyDescent="0.25">
      <c r="A19" t="s">
        <v>7</v>
      </c>
      <c r="B19" s="9">
        <f>Assumptions!$B$10+($B$20-Assumptions!$B$10)*0/9</f>
        <v>0.6751371070634163</v>
      </c>
      <c r="C19" s="9">
        <f>Assumptions!$B$10+($B$20-Assumptions!$B$10)*1/9</f>
        <v>0.6259320448702579</v>
      </c>
      <c r="D19" s="9">
        <f>Assumptions!$B$10+($B$20-Assumptions!$B$10)*2/9</f>
        <v>0.5767269826770995</v>
      </c>
      <c r="E19" s="9">
        <f>Assumptions!$B$10+($B$20-Assumptions!$B$10)*3/9</f>
        <v>0.5275219204839412</v>
      </c>
      <c r="F19" s="9">
        <f>Assumptions!$B$10+($B$20-Assumptions!$B$10)*4/9</f>
        <v>0.47831685829078274</v>
      </c>
      <c r="G19" s="9">
        <f>Assumptions!$B$10+($B$20-Assumptions!$B$10)*5/9</f>
        <v>0.42911179609762434</v>
      </c>
      <c r="H19" s="9">
        <f>Assumptions!$B$10+($B$20-Assumptions!$B$10)*6/9</f>
        <v>0.37990673390446594</v>
      </c>
      <c r="I19" s="9">
        <f>Assumptions!$B$10+($B$20-Assumptions!$B$10)*7/9</f>
        <v>0.33070167171130754</v>
      </c>
      <c r="J19" s="9">
        <f>Assumptions!$B$10+($B$20-Assumptions!$B$10)*8/9</f>
        <v>0.28149660951814914</v>
      </c>
      <c r="K19" s="9">
        <f>Assumptions!$B$10+($B$20-Assumptions!$B$10)*9/9</f>
        <v>0.23229154732499074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0.23229154732499074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1508076420.7261531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2342665288.697523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0.3524132584608193</v>
      </c>
    </row>
    <row r="7" spans="1:2" x14ac:dyDescent="0.25">
      <c r="A7" t="s">
        <v>66</v>
      </c>
      <c r="B7" s="18">
        <f>-MAX(B5,0)*B6</f>
        <v>-825586307.8729501</v>
      </c>
    </row>
    <row r="8" spans="1:2" x14ac:dyDescent="0.25">
      <c r="A8" t="s">
        <v>67</v>
      </c>
      <c r="B8" s="18">
        <f>IF(OR(Assumptions!$B$33=0,Assumptions!B12&lt;=0),B5,MAX(B5+B7,0))</f>
        <v>1517078980.824573</v>
      </c>
    </row>
    <row r="9" spans="1:2" x14ac:dyDescent="0.25">
      <c r="A9" t="s">
        <v>68</v>
      </c>
      <c r="B9" s="18">
        <f>B8*(1+Assumptions!B12)/(Assumptions!B26-Assumptions!B12)</f>
        <v>33849038622.790943</v>
      </c>
    </row>
    <row r="10" spans="1:2" x14ac:dyDescent="0.25">
      <c r="A10" t="s">
        <v>69</v>
      </c>
      <c r="B10" s="18">
        <f>B9/(1+Assumptions!B26)^(10-0.5*Assumptions!B32)</f>
        <v>17651420368.61852</v>
      </c>
    </row>
    <row r="11" spans="1:2" x14ac:dyDescent="0.25">
      <c r="A11" t="s">
        <v>70</v>
      </c>
      <c r="B11" s="18">
        <f>Forecast!B17+B10</f>
        <v>14136627491.469557</v>
      </c>
    </row>
    <row r="12" spans="1:2" x14ac:dyDescent="0.25">
      <c r="A12" t="s">
        <v>71</v>
      </c>
      <c r="B12" s="18">
        <f>-Assumptions!B30</f>
        <v>-9100819000</v>
      </c>
    </row>
    <row r="13" spans="1:2" x14ac:dyDescent="0.25">
      <c r="A13" t="s">
        <v>72</v>
      </c>
      <c r="B13" s="18">
        <f>B11+B12</f>
        <v>5035808491.469557</v>
      </c>
    </row>
    <row r="14" spans="1:2" x14ac:dyDescent="0.25">
      <c r="A14" s="19" t="s">
        <v>73</v>
      </c>
      <c r="B14" s="24">
        <f>B13/Assumptions!B31</f>
        <v>31.361489736565655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4117435112.5124416</v>
      </c>
    </row>
    <row r="18" spans="1:2" x14ac:dyDescent="0.25">
      <c r="A18" t="s">
        <v>68</v>
      </c>
      <c r="B18" s="18">
        <f>B17*Assumptions!B13</f>
        <v>68607538942.84463</v>
      </c>
    </row>
    <row r="19" spans="1:2" x14ac:dyDescent="0.25">
      <c r="A19" t="s">
        <v>69</v>
      </c>
      <c r="B19" s="18">
        <f>B18/(1+Assumptions!B26)^(10-0.5*Assumptions!B32)</f>
        <v>35777102086.471725</v>
      </c>
    </row>
    <row r="20" spans="1:2" x14ac:dyDescent="0.25">
      <c r="A20" t="s">
        <v>70</v>
      </c>
      <c r="B20" s="18">
        <f>Forecast!B17+B19</f>
        <v>32262309209.32276</v>
      </c>
    </row>
    <row r="21" spans="1:2" x14ac:dyDescent="0.25">
      <c r="A21" t="s">
        <v>71</v>
      </c>
      <c r="B21" s="18">
        <f>-Assumptions!B30</f>
        <v>-9100819000</v>
      </c>
    </row>
    <row r="22" spans="1:2" x14ac:dyDescent="0.25">
      <c r="A22" t="s">
        <v>72</v>
      </c>
      <c r="B22" s="18">
        <f>B20+B21</f>
        <v>23161490209.32276</v>
      </c>
    </row>
    <row r="23" spans="1:2" x14ac:dyDescent="0.25">
      <c r="A23" s="19" t="s">
        <v>73</v>
      </c>
      <c r="B23" s="25">
        <f>B22/Assumptions!B31</f>
        <v>144.24274447959968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172.41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31.361489736565655</v>
      </c>
    </row>
    <row r="29" spans="1:2" x14ac:dyDescent="0.25">
      <c r="A29" s="19" t="s">
        <v>81</v>
      </c>
      <c r="B29" s="11">
        <f>B28/B26-1</f>
        <v>-0.8180993577137889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0.050939</v>
      </c>
      <c r="B5" s="31">
        <v>112.92459664570141</v>
      </c>
      <c r="C5" s="31">
        <v>112.93285782062405</v>
      </c>
      <c r="D5" s="31">
        <v>114.23631385038482</v>
      </c>
      <c r="E5" s="31">
        <v>117.76279905479717</v>
      </c>
      <c r="F5" s="31">
        <v>125.60437928615872</v>
      </c>
    </row>
    <row r="6" spans="1:6" x14ac:dyDescent="0.25">
      <c r="A6" s="30">
        <v>0.060939</v>
      </c>
      <c r="B6" s="31">
        <v>64.78801366156634</v>
      </c>
      <c r="C6" s="31">
        <v>61.922520970415235</v>
      </c>
      <c r="D6" s="31">
        <v>59.05702827926414</v>
      </c>
      <c r="E6" s="31">
        <v>56.191535588113034</v>
      </c>
      <c r="F6" s="31">
        <v>53.32604289696193</v>
      </c>
    </row>
    <row r="7" spans="1:6" x14ac:dyDescent="0.25">
      <c r="A7" s="30">
        <v>0.070939</v>
      </c>
      <c r="B7" s="31">
        <v>36.00900258592002</v>
      </c>
      <c r="C7" s="31">
        <v>33.68576430629624</v>
      </c>
      <c r="D7" s="32">
        <v>31.36252602667244</v>
      </c>
      <c r="E7" s="31">
        <v>29.03928774704863</v>
      </c>
      <c r="F7" s="31">
        <v>26.716049467424792</v>
      </c>
    </row>
    <row r="8" spans="1:6" x14ac:dyDescent="0.25">
      <c r="A8" s="30">
        <v>0.080939</v>
      </c>
      <c r="B8" s="31">
        <v>14.970348818286924</v>
      </c>
      <c r="C8" s="31">
        <v>13.04689039129662</v>
      </c>
      <c r="D8" s="31">
        <v>11.123431964306267</v>
      </c>
      <c r="E8" s="31">
        <v>9.19997353731595</v>
      </c>
      <c r="F8" s="31">
        <v>7.276515110325634</v>
      </c>
    </row>
    <row r="9" spans="1:6" x14ac:dyDescent="0.25">
      <c r="A9" s="30">
        <v>0.090939</v>
      </c>
      <c r="B9" s="31">
        <v>-0.9247879151712309</v>
      </c>
      <c r="C9" s="31">
        <v>-2.543326489338619</v>
      </c>
      <c r="D9" s="31">
        <v>-4.161865063506006</v>
      </c>
      <c r="E9" s="31">
        <v>-5.780403637673406</v>
      </c>
      <c r="F9" s="31">
        <v>-7.398942211840806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4702755000</v>
      </c>
      <c r="C5" s="18">
        <v>4165187000</v>
      </c>
      <c r="D5" s="18">
        <v>4275357000</v>
      </c>
      <c r="E5" s="18">
        <v>4201662000</v>
      </c>
      <c r="F5" s="6" t="s">
        <v>91</v>
      </c>
    </row>
    <row r="6" spans="1:6" x14ac:dyDescent="0.25">
      <c r="A6" t="s">
        <v>51</v>
      </c>
      <c r="B6" s="18">
        <v>1559971000</v>
      </c>
      <c r="C6" s="18">
        <v>1355362000</v>
      </c>
      <c r="D6" s="18">
        <v>1067147000</v>
      </c>
      <c r="E6" s="18">
        <v>920982000</v>
      </c>
      <c r="F6" s="6" t="s">
        <v>92</v>
      </c>
    </row>
    <row r="7" spans="1:6" x14ac:dyDescent="0.25">
      <c r="A7" t="s">
        <v>93</v>
      </c>
      <c r="B7" s="18">
        <v>734745000</v>
      </c>
      <c r="C7" s="18">
        <v>669972000</v>
      </c>
      <c r="D7" s="18">
        <v>604327000</v>
      </c>
      <c r="E7" s="18">
        <v>535655000</v>
      </c>
      <c r="F7" s="6" t="s">
        <v>94</v>
      </c>
    </row>
    <row r="8" spans="1:6" x14ac:dyDescent="0.25">
      <c r="A8" t="s">
        <v>95</v>
      </c>
      <c r="B8" s="18">
        <v>3561399000</v>
      </c>
      <c r="C8" s="18">
        <v>2937124000</v>
      </c>
      <c r="D8" s="18">
        <v>2805973000</v>
      </c>
      <c r="E8" s="18">
        <v>2444420000</v>
      </c>
      <c r="F8" s="6" t="s">
        <v>96</v>
      </c>
    </row>
    <row r="9" spans="1:6" x14ac:dyDescent="0.25">
      <c r="A9" t="s">
        <v>97</v>
      </c>
      <c r="B9" s="18">
        <v>85996000</v>
      </c>
      <c r="C9" s="18">
        <v>98967000</v>
      </c>
      <c r="D9" s="18">
        <v>-1912132000</v>
      </c>
      <c r="E9" s="18">
        <v>363764000</v>
      </c>
      <c r="F9" s="6" t="s">
        <v>98</v>
      </c>
    </row>
    <row r="10" spans="1:6" x14ac:dyDescent="0.25">
      <c r="A10" t="s">
        <v>99</v>
      </c>
      <c r="B10" s="18">
        <v>9303506000</v>
      </c>
      <c r="C10" s="18">
        <v>8129213000</v>
      </c>
      <c r="D10" s="18">
        <v>7122906000</v>
      </c>
      <c r="E10" s="18">
        <v>8370016000</v>
      </c>
      <c r="F10" s="6" t="s">
        <v>100</v>
      </c>
    </row>
    <row r="11" spans="1:6" x14ac:dyDescent="0.25">
      <c r="A11" t="s">
        <v>101</v>
      </c>
      <c r="B11" s="18">
        <v>202687000</v>
      </c>
      <c r="C11" s="18">
        <v>307340000</v>
      </c>
      <c r="D11" s="18">
        <v>15404000</v>
      </c>
      <c r="E11" s="18">
        <v>51554000</v>
      </c>
      <c r="F11" s="6" t="s">
        <v>102</v>
      </c>
    </row>
    <row r="12" spans="1:6" x14ac:dyDescent="0.25">
      <c r="A12" t="s">
        <v>34</v>
      </c>
      <c r="B12" s="34">
        <v>160573000</v>
      </c>
      <c r="C12" s="34">
        <v>152666000</v>
      </c>
      <c r="D12" s="34">
        <v>145166000</v>
      </c>
      <c r="E12" s="34">
        <v>138096000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