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<sst xmlns="http://schemas.openxmlformats.org/spreadsheetml/2006/main" count="114" uniqueCount="102">
  <si>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AUB Group Limited (AUB.AX)</t>
  </si>
  <si>
    <t>DCF Studio - Base case</t>
  </si>
  <si>
    <t>Blue figures on a cream fill are inputs. Every other figure is a formula - change an input and the model reprices. Currency figures are AUD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</si>
  <si>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</si>
  <si>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</si>
  <si>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</si>
  <si>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</si>
  <si>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</si>
  <si>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</si>
  <si>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</si>
  <si>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</si>
  <si>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</si>
  <si>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</si>
  <si>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</si>
  <si>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</si>
  <si>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</si>
  <si>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</si>
  <si>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</si>
  <si>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</si>
  <si>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</si>
  <si>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</si>
  <si>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</si>
  <si>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</si>
  <si>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(AUD m)</t>
  </si>
  <si>
    <t>Total debt (AUD m)</t>
  </si>
  <si>
    <t>Equity weight</t>
  </si>
  <si>
    <t>Debt weight</t>
  </si>
  <si>
    <t>WACC</t>
  </si>
  <si>
    <t>Base year</t>
  </si>
  <si>
    <t>Revenue, last reported year (AUD m)</t>
  </si>
  <si>
    <t>Fiscal year ended 2026-06-30</t>
  </si>
  <si>
    <t>Net debt (AUD m)</t>
  </si>
  <si>
    <t>Diluted shares</t>
  </si>
  <si>
    <t>Mid-year discounting (1 = yes, 0 = no)</t>
  </si>
  <si>
    <t>Terminal year on a steady-state footing (1 = yes, 0 = no)</t>
  </si>
  <si>
    <t>Forecast cashflows (AUD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</si>
  <si>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</si>
  <si>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</si>
  <si>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</si>
  <si>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</si>
  <si>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</si>
  <si>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</si>
  <si>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</si>
  <si>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</si>
  <si>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</si>
  <si>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</si>
  <si>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</si>
  <si>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</si>
  <si>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</si>
  <si>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</si>
  <si>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</si>
  <si>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</si>
  <si>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</si>
  <si>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(AUD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</si>
  <si>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</si>
  <si>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</si>
  <si>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</si>
  <si>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</si>
  <si>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</si>
  <si>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</si>
  <si>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</si>
  <si>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</si>
  <si>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</si>
  <si>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</si>
  <si>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</si>
  <si>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</si>
  <si>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</si>
  <si>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</si>
  <si>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</si>
  <si>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</si>
  <si>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AUD to AUD</t>
  </si>
  <si>
    <t>Same currency, no conversion</t>
  </si>
  <si>
    <t>Value per share (AUD)</t>
  </si>
  <si>
    <t>Implied upside</t>
  </si>
  <si>
    <t>Value per share (AUD)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</si>
  <si>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</si>
  <si>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(AUD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</si>
  <si>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</si>
  <si>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</si>
  <si>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</si>
  <si>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</si>
  <si>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</si>
  <si>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</si>
  <si>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</si>
  <si>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</si>
  <si>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</si>
  <si>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</si>
  <si>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</si>
  <si>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</si>
  <si>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</si>
  <si>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</si>
  <si>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</si>
  <si>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</si>
  <si>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</si>
  <si>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</si>
  <si>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</si>
  <si>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</si>
  <si>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</si>
  <si>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</si>
  <si>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Adjusted: Some line items were not reported and have been derived. Each one is labelled in the workings below.</t>
  </si>
  <si>
    <t>Adjusted: Reported capital expenditure averages just 0.27% of revenue, which is too low to be the company's real investment - property trusts and similar structures invest through lines that are not reported as capex. Capex has been set to 9.11%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</si>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</sst>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0.13781438736345297</v>
      </c>
    </row>
    <row r="7" spans="1:2" x14ac:dyDescent="0.25">
      <c r="A7" t="s">
        <v>5</v>
      </c>
      <c r="B7" s="6">
        <v>0.1602589807063337</v>
      </c>
    </row>
    <row r="8" spans="1:2" x14ac:dyDescent="0.25">
      <c r="A8" t="s">
        <v>6</v>
      </c>
      <c r="B8" s="6">
        <v>0.25155458956053767</v>
      </c>
    </row>
    <row r="9" spans="1:2" x14ac:dyDescent="0.25">
      <c r="A9" t="s">
        <v>7</v>
      </c>
      <c r="B9" s="6">
        <v>0.09111260640466569</v>
      </c>
    </row>
    <row r="10" spans="1:2" x14ac:dyDescent="0.25">
      <c r="A10" t="s">
        <v>8</v>
      </c>
      <c r="B10" s="6">
        <v>0.09111260640466569</v>
      </c>
    </row>
    <row r="11" spans="1:2" x14ac:dyDescent="0.25">
      <c r="A11" t="s">
        <v>9</v>
      </c>
      <c r="B11" s="6">
        <v>-0.12122835207998571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12.317801444346898</v>
      </c>
    </row>
    <row r="14" spans="1:3" x14ac:dyDescent="0.25">
      <c r="A14" t="s">
        <v>12</v>
      </c>
      <c r="B14" s="6">
        <v>0.08456228083249097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0.64557</v>
      </c>
      <c r="C19" s="8" t="s">
        <v>19</v>
      </c>
    </row>
    <row r="20" spans="1:2" x14ac:dyDescent="0.25">
      <c r="A20" t="s">
        <v>20</v>
      </c>
      <c r="B20" s="10">
        <f>B17+B19*B18</f>
        <v>0.0922142</v>
      </c>
    </row>
    <row r="21" spans="1:3" x14ac:dyDescent="0.25">
      <c r="A21" t="s">
        <v>21</v>
      </c>
      <c r="B21" s="6">
        <v>0.08088233932509782</v>
      </c>
      <c r="C21" s="8" t="s">
        <v>22</v>
      </c>
    </row>
    <row r="22" spans="1:2" x14ac:dyDescent="0.25">
      <c r="A22" t="s">
        <v>23</v>
      </c>
      <c r="B22" s="11">
        <v>3774204416</v>
      </c>
    </row>
    <row r="23" spans="1:2" x14ac:dyDescent="0.25">
      <c r="A23" t="s">
        <v>24</v>
      </c>
      <c r="B23" s="11">
        <v>1202014000</v>
      </c>
    </row>
    <row r="24" spans="1:2" x14ac:dyDescent="0.25">
      <c r="A24" t="s">
        <v>25</v>
      </c>
      <c r="B24" s="10">
        <f>B22/(B22+B23)</f>
        <v>0.7584483036083841</v>
      </c>
    </row>
    <row r="25" spans="1:2" x14ac:dyDescent="0.25">
      <c r="A25" t="s">
        <v>26</v>
      </c>
      <c r="B25" s="10">
        <f>1-B24</f>
        <v>0.2415516963916159</v>
      </c>
    </row>
    <row r="26" spans="1:2" x14ac:dyDescent="0.25">
      <c r="A26" t="s">
        <v>27</v>
      </c>
      <c r="B26" s="12">
        <f>B24*B20+B25*B21*(1-B8)</f>
        <v>0.08456228083249097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1090071000</v>
      </c>
      <c r="C29" s="8" t="s">
        <v>30</v>
      </c>
    </row>
    <row r="30" spans="1:2" x14ac:dyDescent="0.25">
      <c r="A30" t="s">
        <v>31</v>
      </c>
      <c r="B30" s="11">
        <v>-112159000</v>
      </c>
    </row>
    <row r="31" spans="1:2" x14ac:dyDescent="0.25">
      <c r="A31" t="s">
        <v>32</v>
      </c>
      <c r="B31" s="13">
        <v>122792125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0.13781438736345297</v>
      </c>
      <c r="C5" s="10">
        <f>Assumptions!B6</f>
        <v>0.13781438736345297</v>
      </c>
      <c r="D5" s="10">
        <f>Assumptions!B6</f>
        <v>0.13781438736345297</v>
      </c>
      <c r="E5" s="10">
        <f>Assumptions!B6</f>
        <v>0.13781438736345297</v>
      </c>
      <c r="F5" s="10">
        <f>Assumptions!B6</f>
        <v>0.13781438736345297</v>
      </c>
    </row>
    <row r="6" spans="1:6" x14ac:dyDescent="0.25">
      <c r="A6" t="s">
        <v>43</v>
      </c>
      <c r="B6" s="18">
        <f>Assumptions!B29*(1+B5)</f>
        <v>1240298467.0476665</v>
      </c>
      <c r="C6" s="18">
        <f>B6*(1+C5)</f>
        <v>1411229440.4316707</v>
      </c>
      <c r="D6" s="18">
        <f>C6*(1+D5)</f>
        <v>1605717161.1940298</v>
      </c>
      <c r="E6" s="18">
        <f>D6*(1+E5)</f>
        <v>1827008088.0429678</v>
      </c>
      <c r="F6" s="18">
        <f>E6*(1+F5)</f>
        <v>2078796088.4046829</v>
      </c>
    </row>
    <row r="7" spans="1:6" x14ac:dyDescent="0.25">
      <c r="A7" t="s">
        <v>5</v>
      </c>
      <c r="B7" s="10">
        <f>Assumptions!B7</f>
        <v>0.1602589807063337</v>
      </c>
      <c r="C7" s="10">
        <f>Assumptions!B7</f>
        <v>0.1602589807063337</v>
      </c>
      <c r="D7" s="10">
        <f>Assumptions!B7</f>
        <v>0.1602589807063337</v>
      </c>
      <c r="E7" s="10">
        <f>Assumptions!B7</f>
        <v>0.1602589807063337</v>
      </c>
      <c r="F7" s="10">
        <f>Assumptions!B7</f>
        <v>0.1602589807063337</v>
      </c>
    </row>
    <row r="8" spans="1:6" x14ac:dyDescent="0.25">
      <c r="A8" t="s">
        <v>44</v>
      </c>
      <c r="B8" s="18">
        <f>B6*B7</f>
        <v>198768968.10068727</v>
      </c>
      <c r="C8" s="18">
        <f>C6*C7</f>
        <v>226162191.66634923</v>
      </c>
      <c r="D8" s="18">
        <f>D6*D7</f>
        <v>257330595.55562297</v>
      </c>
      <c r="E8" s="18">
        <f>E6*E7</f>
        <v>292794453.9319936</v>
      </c>
      <c r="F8" s="18">
        <f>F6*F7</f>
        <v>333145742.2240481</v>
      </c>
    </row>
    <row r="9" spans="1:6" x14ac:dyDescent="0.25">
      <c r="A9" t="s">
        <v>45</v>
      </c>
      <c r="B9" s="18">
        <f>B8*(1-Assumptions!B8)</f>
        <v>148767721.91274726</v>
      </c>
      <c r="C9" s="18">
        <f>C8*(1-Assumptions!B8)</f>
        <v>169270054.3676091</v>
      </c>
      <c r="D9" s="18">
        <f>D8*(1-Assumptions!B8)</f>
        <v>192597903.2092595</v>
      </c>
      <c r="E9" s="18">
        <f>E8*(1-Assumptions!B8)</f>
        <v>219140665.2475292</v>
      </c>
      <c r="F9" s="18">
        <f>F8*(1-Assumptions!B8)</f>
        <v>249341401.775037</v>
      </c>
    </row>
    <row r="10" spans="1:6" x14ac:dyDescent="0.25">
      <c r="A10" t="s">
        <v>46</v>
      </c>
      <c r="B10" s="18">
        <f>B6*Assumptions!B9</f>
        <v>113006826.05242425</v>
      </c>
      <c r="C10" s="18">
        <f>C6*Assumptions!B9</f>
        <v>128580792.55272742</v>
      </c>
      <c r="D10" s="18">
        <f>D6*Assumptions!B9</f>
        <v>146301075.70508876</v>
      </c>
      <c r="E10" s="18">
        <f>E6*Assumptions!B9</f>
        <v>166463468.82399973</v>
      </c>
      <c r="F10" s="18">
        <f>F6*Assumptions!B9</f>
        <v>189404529.7983745</v>
      </c>
    </row>
    <row r="11" spans="1:6" x14ac:dyDescent="0.25">
      <c r="A11" t="s">
        <v>47</v>
      </c>
      <c r="B11" s="18">
        <f>-B6*Assumptions!B10</f>
        <v>-113006826.05242425</v>
      </c>
      <c r="C11" s="18">
        <f>-C6*Assumptions!B10</f>
        <v>-128580792.55272742</v>
      </c>
      <c r="D11" s="18">
        <f>-D6*Assumptions!B10</f>
        <v>-146301075.70508876</v>
      </c>
      <c r="E11" s="18">
        <f>-E6*Assumptions!B10</f>
        <v>-166463468.82399973</v>
      </c>
      <c r="F11" s="18">
        <f>-F6*Assumptions!B10</f>
        <v>-189404529.7983745</v>
      </c>
    </row>
    <row r="12" spans="1:6" x14ac:dyDescent="0.25">
      <c r="A12" t="s">
        <v>48</v>
      </c>
      <c r="B12" s="18">
        <f>-(B6-Assumptions!B29)*Assumptions!B11</f>
        <v>18211828.267338973</v>
      </c>
      <c r="C12" s="18">
        <f>-(C6-B6)*Assumptions!B11</f>
        <v>20721680.222770717</v>
      </c>
      <c r="D12" s="18">
        <f>-(D6-C6)*Assumptions!B11</f>
        <v>23577425.88781322</v>
      </c>
      <c r="E12" s="18">
        <f>-(E6-D6)*Assumptions!B11</f>
        <v>26826734.39214942</v>
      </c>
      <c r="F12" s="18">
        <f>-(F6-E6)*Assumptions!B11</f>
        <v>30523844.357365564</v>
      </c>
    </row>
    <row r="13" spans="1:6" x14ac:dyDescent="0.25">
      <c r="A13" s="19" t="s">
        <v>49</v>
      </c>
      <c r="B13" s="20">
        <f>B9+B10+B11+B12</f>
        <v>166979550.18008623</v>
      </c>
      <c r="C13" s="20">
        <f>C9+C10+C11+C12</f>
        <v>189991734.59037986</v>
      </c>
      <c r="D13" s="20">
        <f>D9+D10+D11+D12</f>
        <v>216175329.0970727</v>
      </c>
      <c r="E13" s="20">
        <f>E9+E10+E11+E12</f>
        <v>245967399.6396786</v>
      </c>
      <c r="F13" s="20">
        <f>F9+F10+F11+F12</f>
        <v>279865246.13240254</v>
      </c>
    </row>
    <row r="14" spans="1:6" x14ac:dyDescent="0.25">
      <c r="A14" t="s">
        <v>50</v>
      </c>
      <c r="B14" s="21">
        <f>1/(1+Assumptions!$B$26)^(1-0.5*Assumptions!$B$32)</f>
        <v>0.9602244316305999</v>
      </c>
      <c r="C14" s="21">
        <f>1/(1+Assumptions!$B$26)^(2-0.5*Assumptions!$B$32)</f>
        <v>0.8853566536479107</v>
      </c>
      <c r="D14" s="21">
        <f>1/(1+Assumptions!$B$26)^(3-0.5*Assumptions!$B$32)</f>
        <v>0.8163262445088229</v>
      </c>
      <c r="E14" s="21">
        <f>1/(1+Assumptions!$B$26)^(4-0.5*Assumptions!$B$32)</f>
        <v>0.752678070163223</v>
      </c>
      <c r="F14" s="21">
        <f>1/(1+Assumptions!$B$26)^(5-0.5*Assumptions!$B$32)</f>
        <v>0.6939924829263658</v>
      </c>
    </row>
    <row r="15" spans="1:6" x14ac:dyDescent="0.25">
      <c r="A15" s="19" t="s">
        <v>51</v>
      </c>
      <c r="B15" s="20">
        <f>B13*B14</f>
        <v>160337843.66560653</v>
      </c>
      <c r="C15" s="20">
        <f>C13*C14</f>
        <v>168210446.35770074</v>
      </c>
      <c r="D15" s="20">
        <f>D13*D14</f>
        <v>176469594.5572722</v>
      </c>
      <c r="E15" s="20">
        <f>E13*E14</f>
        <v>185134267.6838595</v>
      </c>
      <c r="F15" s="20">
        <f>F13*F14</f>
        <v>194224377.04822454</v>
      </c>
    </row>
    <row r="17" spans="1:2" x14ac:dyDescent="0.25">
      <c r="A17" s="22" t="s">
        <v>52</v>
      </c>
      <c r="B17" s="23">
        <f>SUM(B15:F15)</f>
        <v>884376529.3126636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279865246.13240254</v>
      </c>
    </row>
    <row r="5" spans="1:2" x14ac:dyDescent="0.25">
      <c r="A5" t="s">
        <v>56</v>
      </c>
      <c r="B5" s="18">
        <f>IF(Assumptions!$B$33=0,B4,B4-Forecast!F11-Forecast!F10-Forecast!F12)</f>
        <v>249341401.775037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0.295640086264021</v>
      </c>
    </row>
    <row r="7" spans="1:2" x14ac:dyDescent="0.25">
      <c r="A7" t="s">
        <v>58</v>
      </c>
      <c r="B7" s="18">
        <f>-MAX(Forecast!F9,0)*B6</f>
        <v>-73715313.52996385</v>
      </c>
    </row>
    <row r="8" spans="1:2" x14ac:dyDescent="0.25">
      <c r="A8" t="s">
        <v>59</v>
      </c>
      <c r="B8" s="18">
        <f>IF(OR(Assumptions!$B$33=0,Assumptions!B12&lt;=0),B5,MAX(B5+B7,0))</f>
        <v>175626088.24507314</v>
      </c>
    </row>
    <row r="9" spans="1:2" x14ac:dyDescent="0.25">
      <c r="A9" t="s">
        <v>60</v>
      </c>
      <c r="B9" s="18">
        <f>B8*(1+Assumptions!B12)/(Assumptions!B26-Assumptions!B12)</f>
        <v>3022327854.728518</v>
      </c>
    </row>
    <row r="10" spans="1:2" x14ac:dyDescent="0.25">
      <c r="A10" t="s">
        <v>61</v>
      </c>
      <c r="B10" s="18">
        <f>B9/(1+Assumptions!B26)^(5-0.5*Assumptions!B32)</f>
        <v>2097472812.120561</v>
      </c>
    </row>
    <row r="11" spans="1:2" x14ac:dyDescent="0.25">
      <c r="A11" t="s">
        <v>62</v>
      </c>
      <c r="B11" s="18">
        <f>Forecast!B17+B10</f>
        <v>2981849341.4332247</v>
      </c>
    </row>
    <row r="12" spans="1:2" x14ac:dyDescent="0.25">
      <c r="A12" t="s">
        <v>63</v>
      </c>
      <c r="B12" s="18">
        <f>-Assumptions!B30</f>
        <v>112159000</v>
      </c>
    </row>
    <row r="13" spans="1:2" x14ac:dyDescent="0.25">
      <c r="A13" t="s">
        <v>64</v>
      </c>
      <c r="B13" s="18">
        <f>B11+B12</f>
        <v>3094008341.4332247</v>
      </c>
    </row>
    <row r="14" spans="1:2" x14ac:dyDescent="0.25">
      <c r="A14" s="19" t="s">
        <v>65</v>
      </c>
      <c r="B14" s="24">
        <f>B13/Assumptions!B31</f>
        <v>25.197123524275067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522550272.02242255</v>
      </c>
    </row>
    <row r="18" spans="1:2" x14ac:dyDescent="0.25">
      <c r="A18" t="s">
        <v>60</v>
      </c>
      <c r="B18" s="18">
        <f>B17*Assumptions!B13</f>
        <v>6436670495.461661</v>
      </c>
    </row>
    <row r="19" spans="1:2" x14ac:dyDescent="0.25">
      <c r="A19" t="s">
        <v>61</v>
      </c>
      <c r="B19" s="18">
        <f>B18/(1+Assumptions!B26)^(5-0.5*Assumptions!B32)</f>
        <v>4467000938.92432</v>
      </c>
    </row>
    <row r="20" spans="1:2" x14ac:dyDescent="0.25">
      <c r="A20" t="s">
        <v>62</v>
      </c>
      <c r="B20" s="18">
        <f>Forecast!B17+B19</f>
        <v>5351377468.236984</v>
      </c>
    </row>
    <row r="21" spans="1:2" x14ac:dyDescent="0.25">
      <c r="A21" t="s">
        <v>63</v>
      </c>
      <c r="B21" s="18">
        <f>-Assumptions!B30</f>
        <v>112159000</v>
      </c>
    </row>
    <row r="22" spans="1:2" x14ac:dyDescent="0.25">
      <c r="A22" t="s">
        <v>64</v>
      </c>
      <c r="B22" s="18">
        <f>B20+B21</f>
        <v>5463536468.236984</v>
      </c>
    </row>
    <row r="23" spans="1:2" x14ac:dyDescent="0.25">
      <c r="A23" s="19" t="s">
        <v>65</v>
      </c>
      <c r="B23" s="25">
        <f>B22/Assumptions!B31</f>
        <v>44.49419267104453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28.89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25.197123524275067</v>
      </c>
    </row>
    <row r="29" spans="1:2" x14ac:dyDescent="0.25">
      <c r="A29" s="19" t="s">
        <v>73</v>
      </c>
      <c r="B29" s="12">
        <f>B28/B26-1</f>
        <v>-0.1278254231818945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0.064562</v>
      </c>
      <c r="B5" s="31">
        <v>32.565138455520966</v>
      </c>
      <c r="C5" s="31">
        <v>32.683810272354144</v>
      </c>
      <c r="D5" s="31">
        <v>32.80248208918732</v>
      </c>
      <c r="E5" s="31">
        <v>32.92115390602051</v>
      </c>
      <c r="F5" s="31">
        <v>33.03982572285368</v>
      </c>
    </row>
    <row r="6" spans="1:6" x14ac:dyDescent="0.25">
      <c r="A6" s="30">
        <v>0.074562</v>
      </c>
      <c r="B6" s="31">
        <v>28.29157505647579</v>
      </c>
      <c r="C6" s="31">
        <v>28.390097388752395</v>
      </c>
      <c r="D6" s="31">
        <v>28.48861972102899</v>
      </c>
      <c r="E6" s="31">
        <v>28.587142053305588</v>
      </c>
      <c r="F6" s="31">
        <v>28.68566438558219</v>
      </c>
    </row>
    <row r="7" spans="1:6" x14ac:dyDescent="0.25">
      <c r="A7" s="30">
        <v>0.084562</v>
      </c>
      <c r="B7" s="31">
        <v>25.03055553798796</v>
      </c>
      <c r="C7" s="31">
        <v>25.11388026744107</v>
      </c>
      <c r="D7" s="32">
        <v>25.19720499689417</v>
      </c>
      <c r="E7" s="31">
        <v>25.280529726347275</v>
      </c>
      <c r="F7" s="31">
        <v>25.36385445580038</v>
      </c>
    </row>
    <row r="8" spans="1:6" x14ac:dyDescent="0.25">
      <c r="A8" s="30">
        <v>0.094562</v>
      </c>
      <c r="B8" s="31">
        <v>22.460817749275886</v>
      </c>
      <c r="C8" s="31">
        <v>22.532316028072014</v>
      </c>
      <c r="D8" s="31">
        <v>22.603814306868138</v>
      </c>
      <c r="E8" s="31">
        <v>22.675312585664262</v>
      </c>
      <c r="F8" s="31">
        <v>22.746810864460382</v>
      </c>
    </row>
    <row r="9" spans="1:6" x14ac:dyDescent="0.25">
      <c r="A9" s="30">
        <v>0.104562</v>
      </c>
      <c r="B9" s="31">
        <v>20.38399696496267</v>
      </c>
      <c r="C9" s="31">
        <v>20.446064509185984</v>
      </c>
      <c r="D9" s="31">
        <v>20.508132053409295</v>
      </c>
      <c r="E9" s="31">
        <v>20.570199597632605</v>
      </c>
      <c r="F9" s="31">
        <v>20.632267141855912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1090071000</v>
      </c>
      <c r="C5" s="18">
        <v>1034061000</v>
      </c>
      <c r="D5" s="18">
        <v>937436000</v>
      </c>
      <c r="E5" s="18">
        <v>740015000</v>
      </c>
      <c r="F5" s="8" t="s">
        <v>84</v>
      </c>
    </row>
    <row r="6" spans="1:6" x14ac:dyDescent="0.25">
      <c r="A6" t="s">
        <v>44</v>
      </c>
      <c r="B6" s="18">
        <v>194669000</v>
      </c>
      <c r="C6" s="18">
        <v>173661000</v>
      </c>
      <c r="D6" s="18">
        <v>151005000</v>
      </c>
      <c r="E6" s="18">
        <v>98739000</v>
      </c>
      <c r="F6" s="8" t="s">
        <v>85</v>
      </c>
    </row>
    <row r="7" spans="1:6" x14ac:dyDescent="0.25">
      <c r="A7" t="s">
        <v>86</v>
      </c>
      <c r="B7" s="18">
        <v>102628000</v>
      </c>
      <c r="C7" s="18">
        <v>96050000</v>
      </c>
      <c r="D7" s="18">
        <v>89851000</v>
      </c>
      <c r="E7" s="18">
        <v>60362000</v>
      </c>
      <c r="F7" s="8" t="s">
        <v>87</v>
      </c>
    </row>
    <row r="8" spans="1:6" x14ac:dyDescent="0.25">
      <c r="A8" t="s">
        <v>88</v>
      </c>
      <c r="B8" s="18">
        <v>5717000</v>
      </c>
      <c r="C8" s="18">
        <v>4629000</v>
      </c>
      <c r="D8" s="18">
        <v>0</v>
      </c>
      <c r="E8" s="18">
        <v>749000</v>
      </c>
      <c r="F8" s="8" t="s">
        <v>89</v>
      </c>
    </row>
    <row r="9" spans="1:6" x14ac:dyDescent="0.25">
      <c r="A9" t="s">
        <v>90</v>
      </c>
      <c r="B9" s="18">
        <v>-6790000</v>
      </c>
      <c r="C9" s="18">
        <v>16364000</v>
      </c>
      <c r="D9" s="18">
        <v>-308521000</v>
      </c>
      <c r="E9" s="18">
        <v>0</v>
      </c>
      <c r="F9" s="8" t="s">
        <v>91</v>
      </c>
    </row>
    <row r="10" spans="1:6" x14ac:dyDescent="0.25">
      <c r="A10" t="s">
        <v>92</v>
      </c>
      <c r="B10" s="18">
        <v>1202014000</v>
      </c>
      <c r="C10" s="18">
        <v>958062000</v>
      </c>
      <c r="D10" s="18">
        <v>724692000</v>
      </c>
      <c r="E10" s="18">
        <v>661107000</v>
      </c>
      <c r="F10" s="8" t="s">
        <v>93</v>
      </c>
    </row>
    <row r="11" spans="1:6" x14ac:dyDescent="0.25">
      <c r="A11" t="s">
        <v>94</v>
      </c>
      <c r="B11" s="18">
        <v>1314173000</v>
      </c>
      <c r="C11" s="18">
        <v>1344019000</v>
      </c>
      <c r="D11" s="18">
        <v>1287463000</v>
      </c>
      <c r="E11" s="18">
        <v>1198525000</v>
      </c>
      <c r="F11" s="8" t="s">
        <v>95</v>
      </c>
    </row>
    <row r="12" spans="1:6" x14ac:dyDescent="0.25">
      <c r="A12" t="s">
        <v>32</v>
      </c>
      <c r="B12" s="34">
        <v>122792125</v>
      </c>
      <c r="C12" s="34">
        <v>117498695</v>
      </c>
      <c r="D12" s="34">
        <v>109842135</v>
      </c>
      <c r="E12" s="34">
        <v>100265827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86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2026-09-19T00:06:52Z</dcterms:modified>
</cp:coreProperties>
</file>