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<sst xmlns="http://schemas.openxmlformats.org/spreadsheetml/2006/main" count="112" uniqueCount="100">
  <si>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Autotrader Group plc (AUTO.L)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</si>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</sst>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0.07667149657718308</v>
      </c>
    </row>
    <row r="7" spans="1:2" x14ac:dyDescent="0.25">
      <c r="A7" t="s">
        <v>5</v>
      </c>
      <c r="B7" s="6">
        <v>0.5997960893736977</v>
      </c>
    </row>
    <row r="8" spans="1:2" x14ac:dyDescent="0.25">
      <c r="A8" t="s">
        <v>6</v>
      </c>
      <c r="B8" s="6">
        <v>0.24594423057754466</v>
      </c>
    </row>
    <row r="9" spans="1:2" x14ac:dyDescent="0.25">
      <c r="A9" t="s">
        <v>7</v>
      </c>
      <c r="B9" s="6">
        <v>0.033040555156370964</v>
      </c>
    </row>
    <row r="10" spans="1:2" x14ac:dyDescent="0.25">
      <c r="A10" t="s">
        <v>8</v>
      </c>
      <c r="B10" s="6">
        <v>0.015999265174535787</v>
      </c>
    </row>
    <row r="11" spans="1:2" x14ac:dyDescent="0.25">
      <c r="A11" t="s">
        <v>9</v>
      </c>
      <c r="B11" s="6">
        <v>0.052980132450331126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9.645282174757282</v>
      </c>
    </row>
    <row r="14" spans="1:3" x14ac:dyDescent="0.25">
      <c r="A14" t="s">
        <v>12</v>
      </c>
      <c r="B14" s="6">
        <v>0.47072138612092157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0.79431</v>
      </c>
      <c r="C19" s="8" t="s">
        <v>19</v>
      </c>
    </row>
    <row r="20" spans="1:2" x14ac:dyDescent="0.25">
      <c r="A20" t="s">
        <v>20</v>
      </c>
      <c r="B20" s="10">
        <f>B17+B19*B18</f>
        <v>0.08868704999999999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3781056256</v>
      </c>
    </row>
    <row r="23" spans="1:2" x14ac:dyDescent="0.25">
      <c r="A23" t="s">
        <v>24</v>
      </c>
      <c r="B23" s="11">
        <v>211000000</v>
      </c>
    </row>
    <row r="24" spans="1:2" x14ac:dyDescent="0.25">
      <c r="A24" t="s">
        <v>25</v>
      </c>
      <c r="B24" s="10">
        <f>B22/(B22+B23)</f>
        <v>0.9471450334190882</v>
      </c>
    </row>
    <row r="25" spans="1:2" x14ac:dyDescent="0.25">
      <c r="A25" t="s">
        <v>26</v>
      </c>
      <c r="B25" s="10">
        <f>1-B24</f>
        <v>0.05285496658091182</v>
      </c>
    </row>
    <row r="26" spans="1:2" x14ac:dyDescent="0.25">
      <c r="A26" t="s">
        <v>27</v>
      </c>
      <c r="B26" s="12">
        <f>B24*B20+B25*B21*(1-B8)</f>
        <v>0.08579300059827388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624300000</v>
      </c>
      <c r="C29" s="8" t="s">
        <v>30</v>
      </c>
    </row>
    <row r="30" spans="1:2" x14ac:dyDescent="0.25">
      <c r="A30" t="s">
        <v>31</v>
      </c>
      <c r="B30" s="11">
        <v>192800000</v>
      </c>
    </row>
    <row r="31" spans="1:2" x14ac:dyDescent="0.25">
      <c r="A31" t="s">
        <v>32</v>
      </c>
      <c r="B31" s="13">
        <v>822807961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0.07667149657718308</v>
      </c>
      <c r="C5" s="10">
        <f>Assumptions!B6</f>
        <v>0.07667149657718308</v>
      </c>
      <c r="D5" s="10">
        <f>Assumptions!B6</f>
        <v>0.07667149657718308</v>
      </c>
      <c r="E5" s="10">
        <f>Assumptions!B6</f>
        <v>0.07667149657718308</v>
      </c>
      <c r="F5" s="10">
        <f>Assumptions!B6</f>
        <v>0.07667149657718308</v>
      </c>
    </row>
    <row r="6" spans="1:6" x14ac:dyDescent="0.25">
      <c r="A6" t="s">
        <v>43</v>
      </c>
      <c r="B6" s="18">
        <f>Assumptions!B29*(1+B5)</f>
        <v>672166015.3131354</v>
      </c>
      <c r="C6" s="18">
        <f>B6*(1+C5)</f>
        <v>723701989.6555152</v>
      </c>
      <c r="D6" s="18">
        <f>C6*(1+D5)</f>
        <v>779189304.2782886</v>
      </c>
      <c r="E6" s="18">
        <f>D6*(1+E5)</f>
        <v>838930914.3542391</v>
      </c>
      <c r="F6" s="18">
        <f>E6*(1+F5)</f>
        <v>903253003.0826433</v>
      </c>
    </row>
    <row r="7" spans="1:6" x14ac:dyDescent="0.25">
      <c r="A7" t="s">
        <v>5</v>
      </c>
      <c r="B7" s="10">
        <f>Assumptions!B7</f>
        <v>0.5997960893736977</v>
      </c>
      <c r="C7" s="10">
        <f>Assumptions!B7</f>
        <v>0.5997960893736977</v>
      </c>
      <c r="D7" s="10">
        <f>Assumptions!B7</f>
        <v>0.5997960893736977</v>
      </c>
      <c r="E7" s="10">
        <f>Assumptions!B7</f>
        <v>0.5997960893736977</v>
      </c>
      <c r="F7" s="10">
        <f>Assumptions!B7</f>
        <v>0.5997960893736977</v>
      </c>
    </row>
    <row r="8" spans="1:6" x14ac:dyDescent="0.25">
      <c r="A8" t="s">
        <v>44</v>
      </c>
      <c r="B8" s="18">
        <f>B6*B7</f>
        <v>403162547.3947196</v>
      </c>
      <c r="C8" s="18">
        <f>C6*C7</f>
        <v>434073623.2673422</v>
      </c>
      <c r="D8" s="18">
        <f>D6*D7</f>
        <v>467354697.58792967</v>
      </c>
      <c r="E8" s="18">
        <f>E6*E7</f>
        <v>503187481.6843731</v>
      </c>
      <c r="F8" s="18">
        <f>F6*F7</f>
        <v>541767618.9640179</v>
      </c>
    </row>
    <row r="9" spans="1:6" x14ac:dyDescent="0.25">
      <c r="A9" t="s">
        <v>45</v>
      </c>
      <c r="B9" s="18">
        <f>B8*(1-Assumptions!B8)</f>
        <v>304007044.8780424</v>
      </c>
      <c r="C9" s="18">
        <f>C8*(1-Assumptions!B8)</f>
        <v>327315719.97884876</v>
      </c>
      <c r="D9" s="18">
        <f>D8*(1-Assumptions!B8)</f>
        <v>352411506.08286524</v>
      </c>
      <c r="E9" s="18">
        <f>E8*(1-Assumptions!B8)</f>
        <v>379431423.6652576</v>
      </c>
      <c r="F9" s="18">
        <f>F8*(1-Assumptions!B8)</f>
        <v>408522998.7660841</v>
      </c>
    </row>
    <row r="10" spans="1:6" x14ac:dyDescent="0.25">
      <c r="A10" t="s">
        <v>46</v>
      </c>
      <c r="B10" s="18">
        <f>B6*Assumptions!B9</f>
        <v>22208738.30319174</v>
      </c>
      <c r="C10" s="18">
        <f>C6*Assumptions!B9</f>
        <v>23911515.50598846</v>
      </c>
      <c r="D10" s="18">
        <f>D6*Assumptions!B9</f>
        <v>25744847.18526111</v>
      </c>
      <c r="E10" s="18">
        <f>E6*Assumptions!B9</f>
        <v>27718743.148105964</v>
      </c>
      <c r="F10" s="18">
        <f>F6*Assumptions!B9</f>
        <v>29843980.66850979</v>
      </c>
    </row>
    <row r="11" spans="1:6" x14ac:dyDescent="0.25">
      <c r="A11" t="s">
        <v>47</v>
      </c>
      <c r="B11" s="18">
        <f>-B6*Assumptions!B10</f>
        <v>-10754162.320305936</v>
      </c>
      <c r="C11" s="18">
        <f>-C6*Assumptions!B10</f>
        <v>-11578700.039837742</v>
      </c>
      <c r="D11" s="18">
        <f>-D6*Assumptions!B10</f>
        <v>-12466456.300310392</v>
      </c>
      <c r="E11" s="18">
        <f>-E6*Assumptions!B10</f>
        <v>-13422278.161869243</v>
      </c>
      <c r="F11" s="18">
        <f>-F6*Assumptions!B10</f>
        <v>-14451384.316015001</v>
      </c>
    </row>
    <row r="12" spans="1:6" x14ac:dyDescent="0.25">
      <c r="A12" t="s">
        <v>48</v>
      </c>
      <c r="B12" s="18">
        <f>-(B6-Assumptions!B29)*Assumptions!B11</f>
        <v>-2535947.8311594906</v>
      </c>
      <c r="C12" s="18">
        <f>-(C6-B6)*Assumptions!B11</f>
        <v>-2730382.746616149</v>
      </c>
      <c r="D12" s="18">
        <f>-(D6-C6)*Assumptions!B11</f>
        <v>-2939725.27802773</v>
      </c>
      <c r="E12" s="18">
        <f>-(E6-D6)*Assumptions!B11</f>
        <v>-3165118.414619894</v>
      </c>
      <c r="F12" s="18">
        <f>-(F6-E6)*Assumptions!B11</f>
        <v>-3407792.7803128036</v>
      </c>
    </row>
    <row r="13" spans="1:6" x14ac:dyDescent="0.25">
      <c r="A13" s="19" t="s">
        <v>49</v>
      </c>
      <c r="B13" s="20">
        <f>B9+B10+B11+B12</f>
        <v>312925673.0297687</v>
      </c>
      <c r="C13" s="20">
        <f>C9+C10+C11+C12</f>
        <v>336918152.6983834</v>
      </c>
      <c r="D13" s="20">
        <f>D9+D10+D11+D12</f>
        <v>362750171.6897883</v>
      </c>
      <c r="E13" s="20">
        <f>E9+E10+E11+E12</f>
        <v>390562770.2368744</v>
      </c>
      <c r="F13" s="20">
        <f>F9+F10+F11+F12</f>
        <v>420507802.3382661</v>
      </c>
    </row>
    <row r="14" spans="1:6" x14ac:dyDescent="0.25">
      <c r="A14" t="s">
        <v>50</v>
      </c>
      <c r="B14" s="21">
        <f>1/(1+Assumptions!$B$26)^(1-0.5*Assumptions!$B$32)</f>
        <v>0.9596800819005388</v>
      </c>
      <c r="C14" s="21">
        <f>1/(1+Assumptions!$B$26)^(2-0.5*Assumptions!$B$32)</f>
        <v>0.8838517851669272</v>
      </c>
      <c r="D14" s="21">
        <f>1/(1+Assumptions!$B$26)^(3-0.5*Assumptions!$B$32)</f>
        <v>0.8140149961179739</v>
      </c>
      <c r="E14" s="21">
        <f>1/(1+Assumptions!$B$26)^(4-0.5*Assumptions!$B$32)</f>
        <v>0.7496963009242555</v>
      </c>
      <c r="F14" s="21">
        <f>1/(1+Assumptions!$B$26)^(5-0.5*Assumptions!$B$32)</f>
        <v>0.6904596921431356</v>
      </c>
    </row>
    <row r="15" spans="1:6" x14ac:dyDescent="0.25">
      <c r="A15" s="19" t="s">
        <v>51</v>
      </c>
      <c r="B15" s="20">
        <f>B13*B14</f>
        <v>300308535.52198964</v>
      </c>
      <c r="C15" s="20">
        <f>C13*C14</f>
        <v>297785710.7176095</v>
      </c>
      <c r="D15" s="20">
        <f>D13*D14</f>
        <v>295284079.5998574</v>
      </c>
      <c r="E15" s="20">
        <f>E13*E14</f>
        <v>292803464.12531465</v>
      </c>
      <c r="F15" s="20">
        <f>F13*F14</f>
        <v>290343687.7462657</v>
      </c>
    </row>
    <row r="17" spans="1:2" x14ac:dyDescent="0.25">
      <c r="A17" s="22" t="s">
        <v>52</v>
      </c>
      <c r="B17" s="23">
        <f>SUM(B15:F15)</f>
        <v>1476525477.711037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420507802.3382661</v>
      </c>
    </row>
    <row r="5" spans="1:2" x14ac:dyDescent="0.25">
      <c r="A5" t="s">
        <v>56</v>
      </c>
      <c r="B5" s="18">
        <f>IF(Assumptions!$B$33=0,B4,B4-Forecast!F11-Forecast!F10-Forecast!F12)</f>
        <v>424217802.11571425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0.053109972771829536</v>
      </c>
    </row>
    <row r="7" spans="1:2" x14ac:dyDescent="0.25">
      <c r="A7" t="s">
        <v>58</v>
      </c>
      <c r="B7" s="18">
        <f>-MAX(Forecast!F9,0)*B6</f>
        <v>-22530195.919690955</v>
      </c>
    </row>
    <row r="8" spans="1:2" x14ac:dyDescent="0.25">
      <c r="A8" t="s">
        <v>59</v>
      </c>
      <c r="B8" s="18">
        <f>IF(OR(Assumptions!$B$33=0,Assumptions!B12&lt;=0),B5,MAX(B5+B7,0))</f>
        <v>401687606.1960233</v>
      </c>
    </row>
    <row r="9" spans="1:2" x14ac:dyDescent="0.25">
      <c r="A9" t="s">
        <v>60</v>
      </c>
      <c r="B9" s="18">
        <f>B8*(1+Assumptions!B12)/(Assumptions!B26-Assumptions!B12)</f>
        <v>6772651329.906789</v>
      </c>
    </row>
    <row r="10" spans="1:2" x14ac:dyDescent="0.25">
      <c r="A10" t="s">
        <v>61</v>
      </c>
      <c r="B10" s="18">
        <f>B9/(1+Assumptions!B26)^(5-0.5*Assumptions!B32)</f>
        <v>4676242752.240239</v>
      </c>
    </row>
    <row r="11" spans="1:2" x14ac:dyDescent="0.25">
      <c r="A11" t="s">
        <v>62</v>
      </c>
      <c r="B11" s="18">
        <f>Forecast!B17+B10</f>
        <v>6152768229.951276</v>
      </c>
    </row>
    <row r="12" spans="1:2" x14ac:dyDescent="0.25">
      <c r="A12" t="s">
        <v>63</v>
      </c>
      <c r="B12" s="18">
        <f>-Assumptions!B30</f>
        <v>-192800000</v>
      </c>
    </row>
    <row r="13" spans="1:2" x14ac:dyDescent="0.25">
      <c r="A13" t="s">
        <v>64</v>
      </c>
      <c r="B13" s="18">
        <f>B11+B12</f>
        <v>5959968229.951276</v>
      </c>
    </row>
    <row r="14" spans="1:2" x14ac:dyDescent="0.25">
      <c r="A14" s="19" t="s">
        <v>65</v>
      </c>
      <c r="B14" s="24">
        <f>B13/Assumptions!B31</f>
        <v>7.243449884354335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571611599.6325277</v>
      </c>
    </row>
    <row r="18" spans="1:2" x14ac:dyDescent="0.25">
      <c r="A18" t="s">
        <v>60</v>
      </c>
      <c r="B18" s="18">
        <f>B17*Assumptions!B13</f>
        <v>5513355172.820116</v>
      </c>
    </row>
    <row r="19" spans="1:2" x14ac:dyDescent="0.25">
      <c r="A19" t="s">
        <v>61</v>
      </c>
      <c r="B19" s="18">
        <f>B18/(1+Assumptions!B26)^(5-0.5*Assumptions!B32)</f>
        <v>3806749515.3011417</v>
      </c>
    </row>
    <row r="20" spans="1:2" x14ac:dyDescent="0.25">
      <c r="A20" t="s">
        <v>62</v>
      </c>
      <c r="B20" s="18">
        <f>Forecast!B17+B19</f>
        <v>5283274993.012178</v>
      </c>
    </row>
    <row r="21" spans="1:2" x14ac:dyDescent="0.25">
      <c r="A21" t="s">
        <v>63</v>
      </c>
      <c r="B21" s="18">
        <f>-Assumptions!B30</f>
        <v>-192800000</v>
      </c>
    </row>
    <row r="22" spans="1:2" x14ac:dyDescent="0.25">
      <c r="A22" t="s">
        <v>64</v>
      </c>
      <c r="B22" s="18">
        <f>B20+B21</f>
        <v>5090474993.012178</v>
      </c>
    </row>
    <row r="23" spans="1:2" x14ac:dyDescent="0.25">
      <c r="A23" s="19" t="s">
        <v>65</v>
      </c>
      <c r="B23" s="25">
        <f>B22/Assumptions!B31</f>
        <v>6.18671091468958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488.2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724.3449884354335</v>
      </c>
    </row>
    <row r="29" spans="1:2" x14ac:dyDescent="0.25">
      <c r="A29" s="19" t="s">
        <v>73</v>
      </c>
      <c r="B29" s="12">
        <f>B28/B26-1</f>
        <v>0.4837054248984709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0.065793</v>
      </c>
      <c r="B5" s="31">
        <v>9.133513275308466</v>
      </c>
      <c r="C5" s="31">
        <v>9.900435074074364</v>
      </c>
      <c r="D5" s="31">
        <v>10.854352337472761</v>
      </c>
      <c r="E5" s="31">
        <v>12.073630443356524</v>
      </c>
      <c r="F5" s="31">
        <v>13.687532946341328</v>
      </c>
    </row>
    <row r="6" spans="1:6" x14ac:dyDescent="0.25">
      <c r="A6" s="30">
        <v>0.075793</v>
      </c>
      <c r="B6" s="31">
        <v>7.60076725554082</v>
      </c>
      <c r="C6" s="31">
        <v>8.098486470497944</v>
      </c>
      <c r="D6" s="31">
        <v>8.693419319045619</v>
      </c>
      <c r="E6" s="31">
        <v>9.417409194363115</v>
      </c>
      <c r="F6" s="31">
        <v>10.317911674651286</v>
      </c>
    </row>
    <row r="7" spans="1:6" x14ac:dyDescent="0.25">
      <c r="A7" s="30">
        <v>0.085793</v>
      </c>
      <c r="B7" s="31">
        <v>6.501461726034683</v>
      </c>
      <c r="C7" s="31">
        <v>6.844549159076009</v>
      </c>
      <c r="D7" s="32">
        <v>7.24344995683133</v>
      </c>
      <c r="E7" s="31">
        <v>7.7131695943729675</v>
      </c>
      <c r="F7" s="31">
        <v>8.274622028285389</v>
      </c>
    </row>
    <row r="8" spans="1:6" x14ac:dyDescent="0.25">
      <c r="A8" s="30">
        <v>0.095793</v>
      </c>
      <c r="B8" s="31">
        <v>5.674635878436979</v>
      </c>
      <c r="C8" s="31">
        <v>5.921704417441011</v>
      </c>
      <c r="D8" s="31">
        <v>6.20316055326522</v>
      </c>
      <c r="E8" s="31">
        <v>6.526844237763191</v>
      </c>
      <c r="F8" s="31">
        <v>6.903174651269931</v>
      </c>
    </row>
    <row r="9" spans="1:6" x14ac:dyDescent="0.25">
      <c r="A9" s="30">
        <v>0.105793</v>
      </c>
      <c r="B9" s="31">
        <v>5.0302428636755705</v>
      </c>
      <c r="C9" s="31">
        <v>5.214169547388513</v>
      </c>
      <c r="D9" s="31">
        <v>5.420430294395608</v>
      </c>
      <c r="E9" s="31">
        <v>5.653445182400762</v>
      </c>
      <c r="F9" s="31">
        <v>5.918883022091058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624300000</v>
      </c>
      <c r="C5" s="18">
        <v>601100000</v>
      </c>
      <c r="D5" s="18">
        <v>570900000</v>
      </c>
      <c r="E5" s="18">
        <v>500200000</v>
      </c>
      <c r="F5" s="8" t="s">
        <v>84</v>
      </c>
    </row>
    <row r="6" spans="1:6" x14ac:dyDescent="0.25">
      <c r="A6" t="s">
        <v>44</v>
      </c>
      <c r="B6" s="18">
        <v>388600000</v>
      </c>
      <c r="C6" s="18">
        <v>373200000</v>
      </c>
      <c r="D6" s="18">
        <v>345900000</v>
      </c>
      <c r="E6" s="18">
        <v>275100000</v>
      </c>
      <c r="F6" s="8" t="s">
        <v>85</v>
      </c>
    </row>
    <row r="7" spans="1:6" x14ac:dyDescent="0.25">
      <c r="A7" t="s">
        <v>86</v>
      </c>
      <c r="B7" s="18">
        <v>23400000</v>
      </c>
      <c r="C7" s="18">
        <v>20700000</v>
      </c>
      <c r="D7" s="18">
        <v>18300000</v>
      </c>
      <c r="E7" s="18">
        <v>14100000</v>
      </c>
      <c r="F7" s="8" t="s">
        <v>87</v>
      </c>
    </row>
    <row r="8" spans="1:6" x14ac:dyDescent="0.25">
      <c r="A8" t="s">
        <v>88</v>
      </c>
      <c r="B8" s="18">
        <v>27400000</v>
      </c>
      <c r="C8" s="18">
        <v>4000000</v>
      </c>
      <c r="D8" s="18">
        <v>3800000</v>
      </c>
      <c r="E8" s="18">
        <v>3400000</v>
      </c>
      <c r="F8" s="8" t="s">
        <v>89</v>
      </c>
    </row>
    <row r="9" spans="1:6" x14ac:dyDescent="0.25">
      <c r="A9" t="s">
        <v>90</v>
      </c>
      <c r="B9" s="18">
        <v>1900000</v>
      </c>
      <c r="C9" s="18">
        <v>1600000</v>
      </c>
      <c r="D9" s="18">
        <v>3300000</v>
      </c>
      <c r="E9" s="18">
        <v>8200000</v>
      </c>
      <c r="F9" s="8" t="s">
        <v>91</v>
      </c>
    </row>
    <row r="10" spans="1:6" x14ac:dyDescent="0.25">
      <c r="A10" t="s">
        <v>92</v>
      </c>
      <c r="B10" s="18">
        <v>211000000</v>
      </c>
      <c r="C10" s="18">
        <v>3500000</v>
      </c>
      <c r="D10" s="18">
        <v>34600000</v>
      </c>
      <c r="E10" s="18">
        <v>68700000</v>
      </c>
      <c r="F10" s="8" t="s">
        <v>93</v>
      </c>
    </row>
    <row r="11" spans="1:6" x14ac:dyDescent="0.25">
      <c r="A11" t="s">
        <v>94</v>
      </c>
      <c r="B11" s="18">
        <v>18200000</v>
      </c>
      <c r="C11" s="18">
        <v>15300000</v>
      </c>
      <c r="D11" s="18">
        <v>18700000</v>
      </c>
      <c r="E11" s="18">
        <v>16600000</v>
      </c>
      <c r="F11" s="8" t="s">
        <v>95</v>
      </c>
    </row>
    <row r="12" spans="1:6" x14ac:dyDescent="0.25">
      <c r="A12" t="s">
        <v>32</v>
      </c>
      <c r="B12" s="34">
        <v>822807961</v>
      </c>
      <c r="C12" s="34">
        <v>879804929</v>
      </c>
      <c r="D12" s="34">
        <v>915302568</v>
      </c>
      <c r="E12" s="34">
        <v>944144242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