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<sst xmlns="http://schemas.openxmlformats.org/spreadsheetml/2006/main" count="117" uniqueCount="105">
  <si>
    <t>Aviva plc (AV.L)</t>
  </si>
  <si>
    <t>DCF Studio - Base case</t>
  </si>
  <si>
    <t>Blue figures on a cream fill are inputs. Every other figure is a formula - change an input and the model reprices. Currency figures are GBP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</si>
  <si>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</si>
  <si>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</si>
  <si>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</si>
  <si>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</si>
  <si>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</si>
  <si>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</si>
  <si>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</si>
  <si>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</si>
  <si>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</si>
  <si>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</si>
  <si>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</si>
  <si>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</si>
  <si>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</si>
  <si>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</si>
  <si>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</si>
  <si>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</si>
  <si>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</si>
  <si>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</si>
  <si>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</si>
  <si>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</si>
  <si>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(GBP m)</t>
  </si>
  <si>
    <t>Total debt (GBP m)</t>
  </si>
  <si>
    <t>Equity weight</t>
  </si>
  <si>
    <t>Debt weight</t>
  </si>
  <si>
    <t>WACC</t>
  </si>
  <si>
    <t>Base year</t>
  </si>
  <si>
    <t>Revenue, last reported year (GBP m)</t>
  </si>
  <si>
    <t>Fiscal year ended 2025-12-31</t>
  </si>
  <si>
    <t>Net debt (GBP m)</t>
  </si>
  <si>
    <t>Diluted shares</t>
  </si>
  <si>
    <t>Mid-year discounting (1 = yes, 0 = no)</t>
  </si>
  <si>
    <t>Terminal year on a steady-state footing (1 = yes, 0 = no)</t>
  </si>
  <si>
    <t>Forecast cashflows (GBP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</si>
  <si>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</si>
  <si>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</si>
  <si>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</si>
  <si>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</si>
  <si>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</si>
  <si>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</si>
  <si>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</si>
  <si>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</si>
  <si>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</si>
  <si>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</si>
  <si>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</si>
  <si>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</si>
  <si>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</si>
  <si>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</si>
  <si>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</si>
  <si>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</si>
  <si>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</si>
  <si>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(GBP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</si>
  <si>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</si>
  <si>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</si>
  <si>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</si>
  <si>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</si>
  <si>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</si>
  <si>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</si>
  <si>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</si>
  <si>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</si>
  <si>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</si>
  <si>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</si>
  <si>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</si>
  <si>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</si>
  <si>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</si>
  <si>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</si>
  <si>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</si>
  <si>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</si>
  <si>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GBP to GBp</t>
  </si>
  <si>
    <t>then x100, because GBp is a sub-unit of GBP</t>
  </si>
  <si>
    <t>Value per share (GBp)</t>
  </si>
  <si>
    <t>Implied upside</t>
  </si>
  <si>
    <t>Value per share (GBP)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</si>
  <si>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</si>
  <si>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(GBP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</si>
  <si>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</si>
  <si>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</si>
  <si>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</si>
  <si>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</si>
  <si>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</si>
  <si>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</si>
  <si>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</si>
  <si>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</si>
  <si>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</si>
  <si>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</si>
  <si>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</si>
  <si>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</si>
  <si>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</si>
  <si>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</si>
  <si>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</si>
  <si>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</si>
  <si>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</si>
  <si>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</si>
  <si>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</si>
  <si>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</si>
  <si>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</si>
  <si>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Only 3 year(s) of history available to anchor assumptions on.</t>
  </si>
  <si>
    <t>Adjusted: Reported capital expenditure averages just 0.54%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</si>
  <si>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Adjusted: Free cashflow is negative in at least one forecast year, so terminal value carries most of the valuation.</t>
  </si>
  <si>
    <t>Adjusted: Capital expenditure runs at 1.0% of revenue against depreciation of 0.5%. A perpetuity has to be a steady state, so the terminal year uses maintenance capex at depreciation and then charges the reinvestment terminal growth requires (g/ROIC of NOPAT). The bridge is shown under Terminal Value.</t>
  </si>
  <si>
    <t>Note: No analyst revenue estimates available, so the consensus scenario is unavailable.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</si>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</sst>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0.19151804274773587</v>
      </c>
    </row>
    <row r="7" spans="1:2" x14ac:dyDescent="0.25">
      <c r="A7" t="s">
        <v>5</v>
      </c>
      <c r="B7" s="6">
        <v>0.02855843058415322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0.004509386535022472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5.99953357806913</v>
      </c>
    </row>
    <row r="14" spans="1:3" x14ac:dyDescent="0.25">
      <c r="A14" t="s">
        <v>12</v>
      </c>
      <c r="B14" s="6">
        <v>0.0744599910521395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0.75076</v>
      </c>
      <c r="C19" s="8" t="s">
        <v>19</v>
      </c>
    </row>
    <row r="20" spans="1:2" x14ac:dyDescent="0.25">
      <c r="A20" t="s">
        <v>20</v>
      </c>
      <c r="B20" s="10">
        <f>B17+B19*B18</f>
        <v>0.0862918</v>
      </c>
    </row>
    <row r="21" spans="1:3" x14ac:dyDescent="0.25">
      <c r="A21" t="s">
        <v>21</v>
      </c>
      <c r="B21" s="6">
        <v>0.05326944757609921</v>
      </c>
      <c r="C21" s="8" t="s">
        <v>22</v>
      </c>
    </row>
    <row r="22" spans="1:2" x14ac:dyDescent="0.25">
      <c r="A22" t="s">
        <v>23</v>
      </c>
      <c r="B22" s="11">
        <v>21308217344</v>
      </c>
    </row>
    <row r="23" spans="1:2" x14ac:dyDescent="0.25">
      <c r="A23" t="s">
        <v>24</v>
      </c>
      <c r="B23" s="11">
        <v>7306000000</v>
      </c>
    </row>
    <row r="24" spans="1:2" x14ac:dyDescent="0.25">
      <c r="A24" t="s">
        <v>25</v>
      </c>
      <c r="B24" s="10">
        <f>B22/(B22+B23)</f>
        <v>0.7446723804405586</v>
      </c>
    </row>
    <row r="25" spans="1:2" x14ac:dyDescent="0.25">
      <c r="A25" t="s">
        <v>26</v>
      </c>
      <c r="B25" s="10">
        <f>1-B24</f>
        <v>0.2553276195594414</v>
      </c>
    </row>
    <row r="26" spans="1:2" x14ac:dyDescent="0.25">
      <c r="A26" t="s">
        <v>27</v>
      </c>
      <c r="B26" s="12">
        <f>B24*B20+B25*B21*(1-B8)</f>
        <v>0.0744599910521395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57436000000</v>
      </c>
      <c r="C29" s="8" t="s">
        <v>30</v>
      </c>
    </row>
    <row r="30" spans="1:2" x14ac:dyDescent="0.25">
      <c r="A30" t="s">
        <v>31</v>
      </c>
      <c r="B30" s="11">
        <v>-11241000000</v>
      </c>
    </row>
    <row r="31" spans="1:2" x14ac:dyDescent="0.25">
      <c r="A31" t="s">
        <v>32</v>
      </c>
      <c r="B31" s="13">
        <v>2893000000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0.19151804274773587</v>
      </c>
      <c r="C5" s="10">
        <f>Assumptions!B6</f>
        <v>0.19151804274773587</v>
      </c>
      <c r="D5" s="10">
        <f>Assumptions!B6</f>
        <v>0.19151804274773587</v>
      </c>
      <c r="E5" s="10">
        <f>Assumptions!B6</f>
        <v>0.19151804274773587</v>
      </c>
      <c r="F5" s="10">
        <f>Assumptions!B6</f>
        <v>0.19151804274773587</v>
      </c>
    </row>
    <row r="6" spans="1:6" x14ac:dyDescent="0.25">
      <c r="A6" t="s">
        <v>43</v>
      </c>
      <c r="B6" s="18">
        <f>Assumptions!B29*(1+B5)</f>
        <v>68436030303.25896</v>
      </c>
      <c r="C6" s="18">
        <f>B6*(1+C5)</f>
        <v>81542764880.36385</v>
      </c>
      <c r="D6" s="18">
        <f>C6*(1+D5)</f>
        <v>97159675610.48994</v>
      </c>
      <c r="E6" s="18">
        <f>D6*(1+E5)</f>
        <v>115767506517.41591</v>
      </c>
      <c r="F6" s="18">
        <f>E6*(1+F5)</f>
        <v>137939072779.41718</v>
      </c>
    </row>
    <row r="7" spans="1:6" x14ac:dyDescent="0.25">
      <c r="A7" t="s">
        <v>5</v>
      </c>
      <c r="B7" s="10">
        <f>Assumptions!B7</f>
        <v>0.02855843058415322</v>
      </c>
      <c r="C7" s="10">
        <f>Assumptions!B7</f>
        <v>0.02855843058415322</v>
      </c>
      <c r="D7" s="10">
        <f>Assumptions!B7</f>
        <v>0.02855843058415322</v>
      </c>
      <c r="E7" s="10">
        <f>Assumptions!B7</f>
        <v>0.02855843058415322</v>
      </c>
      <c r="F7" s="10">
        <f>Assumptions!B7</f>
        <v>0.02855843058415322</v>
      </c>
    </row>
    <row r="8" spans="1:6" x14ac:dyDescent="0.25">
      <c r="A8" t="s">
        <v>44</v>
      </c>
      <c r="B8" s="18">
        <f>B6*B7</f>
        <v>1954425620.8706272</v>
      </c>
      <c r="C8" s="18">
        <f>C6*C7</f>
        <v>2328733390.475798</v>
      </c>
      <c r="D8" s="18">
        <f>D6*D7</f>
        <v>2774727851.501022</v>
      </c>
      <c r="E8" s="18">
        <f>E6*E7</f>
        <v>3306138298.7781277</v>
      </c>
      <c r="F8" s="18">
        <f>F6*F7</f>
        <v>3939323434.8134446</v>
      </c>
    </row>
    <row r="9" spans="1:6" x14ac:dyDescent="0.25">
      <c r="A9" t="s">
        <v>45</v>
      </c>
      <c r="B9" s="18">
        <f>B8*(1-Assumptions!B8)</f>
        <v>1465819215.6529703</v>
      </c>
      <c r="C9" s="18">
        <f>C8*(1-Assumptions!B8)</f>
        <v>1746550042.8568487</v>
      </c>
      <c r="D9" s="18">
        <f>D8*(1-Assumptions!B8)</f>
        <v>2081045888.6257663</v>
      </c>
      <c r="E9" s="18">
        <f>E8*(1-Assumptions!B8)</f>
        <v>2479603724.0835958</v>
      </c>
      <c r="F9" s="18">
        <f>F8*(1-Assumptions!B8)</f>
        <v>2954492576.1100836</v>
      </c>
    </row>
    <row r="10" spans="1:6" x14ac:dyDescent="0.25">
      <c r="A10" t="s">
        <v>46</v>
      </c>
      <c r="B10" s="18">
        <f>B6*Assumptions!B9</f>
        <v>308604513.5599058</v>
      </c>
      <c r="C10" s="18">
        <f>C6*Assumptions!B9</f>
        <v>367707845.98001605</v>
      </c>
      <c r="D10" s="18">
        <f>D6*Assumptions!B9</f>
        <v>438130532.94509465</v>
      </c>
      <c r="E10" s="18">
        <f>E6*Assumptions!B9</f>
        <v>522040435.0827616</v>
      </c>
      <c r="F10" s="18">
        <f>F6*Assumptions!B9</f>
        <v>622020597.4449886</v>
      </c>
    </row>
    <row r="11" spans="1:6" x14ac:dyDescent="0.25">
      <c r="A11" t="s">
        <v>47</v>
      </c>
      <c r="B11" s="18">
        <f>-B6*Assumptions!B10</f>
        <v>-684360303.0325896</v>
      </c>
      <c r="C11" s="18">
        <f>-C6*Assumptions!B10</f>
        <v>-815427648.8036385</v>
      </c>
      <c r="D11" s="18">
        <f>-D6*Assumptions!B10</f>
        <v>-971596756.1048994</v>
      </c>
      <c r="E11" s="18">
        <f>-E6*Assumptions!B10</f>
        <v>-1157675065.174159</v>
      </c>
      <c r="F11" s="18">
        <f>-F6*Assumptions!B10</f>
        <v>-1379390727.7941718</v>
      </c>
    </row>
    <row r="12" spans="1:6" x14ac:dyDescent="0.25">
      <c r="A12" t="s">
        <v>48</v>
      </c>
      <c r="B12" s="18">
        <f>-(B6-Assumptions!B29)*Assumptions!B11</f>
        <v>-11000030303.258957</v>
      </c>
      <c r="C12" s="18">
        <f>-(C6-B6)*Assumptions!B11</f>
        <v>-13106734577.104889</v>
      </c>
      <c r="D12" s="18">
        <f>-(D6-C6)*Assumptions!B11</f>
        <v>-15616910730.126099</v>
      </c>
      <c r="E12" s="18">
        <f>-(E6-D6)*Assumptions!B11</f>
        <v>-18607830906.925964</v>
      </c>
      <c r="F12" s="18">
        <f>-(F6-E6)*Assumptions!B11</f>
        <v>-22171566262.001266</v>
      </c>
    </row>
    <row r="13" spans="1:6" x14ac:dyDescent="0.25">
      <c r="A13" s="19" t="s">
        <v>49</v>
      </c>
      <c r="B13" s="20">
        <f>B9+B10+B11+B12</f>
        <v>-9909966877.07867</v>
      </c>
      <c r="C13" s="20">
        <f>C9+C10+C11+C12</f>
        <v>-11807904337.071663</v>
      </c>
      <c r="D13" s="20">
        <f>D9+D10+D11+D12</f>
        <v>-14069331064.660137</v>
      </c>
      <c r="E13" s="20">
        <f>E9+E10+E11+E12</f>
        <v>-16763861812.933765</v>
      </c>
      <c r="F13" s="20">
        <f>F9+F10+F11+F12</f>
        <v>-19974443816.240364</v>
      </c>
    </row>
    <row r="14" spans="1:6" x14ac:dyDescent="0.25">
      <c r="A14" t="s">
        <v>50</v>
      </c>
      <c r="B14" s="21">
        <f>1/(1+Assumptions!$B$26)^(1-0.5*Assumptions!$B$32)</f>
        <v>0.9647279825656898</v>
      </c>
      <c r="C14" s="21">
        <f>1/(1+Assumptions!$B$26)^(2-0.5*Assumptions!$B$32)</f>
        <v>0.8978724108852139</v>
      </c>
      <c r="D14" s="21">
        <f>1/(1+Assumptions!$B$26)^(3-0.5*Assumptions!$B$32)</f>
        <v>0.8356499249506661</v>
      </c>
      <c r="E14" s="21">
        <f>1/(1+Assumptions!$B$26)^(4-0.5*Assumptions!$B$32)</f>
        <v>0.7777394522921005</v>
      </c>
      <c r="F14" s="21">
        <f>1/(1+Assumptions!$B$26)^(5-0.5*Assumptions!$B$32)</f>
        <v>0.723842170735941</v>
      </c>
    </row>
    <row r="15" spans="1:6" x14ac:dyDescent="0.25">
      <c r="A15" s="19" t="s">
        <v>51</v>
      </c>
      <c r="B15" s="20">
        <f>B13*B14</f>
        <v>-9560422352.616915</v>
      </c>
      <c r="C15" s="20">
        <f>C13*C14</f>
        <v>-10601991534.628508</v>
      </c>
      <c r="D15" s="20">
        <f>D13*D14</f>
        <v>-11757035448.28932</v>
      </c>
      <c r="E15" s="20">
        <f>E13*E14</f>
        <v>-13037916704.691566</v>
      </c>
      <c r="F15" s="20">
        <f>F13*F14</f>
        <v>-14458344771.19052</v>
      </c>
    </row>
    <row r="17" spans="1:2" x14ac:dyDescent="0.25">
      <c r="A17" s="22" t="s">
        <v>52</v>
      </c>
      <c r="B17" s="23">
        <f>SUM(B15:F15)</f>
        <v>-59415710811.41683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-19974443816.240364</v>
      </c>
    </row>
    <row r="5" spans="1:2" x14ac:dyDescent="0.25">
      <c r="A5" t="s">
        <v>56</v>
      </c>
      <c r="B5" s="18">
        <f>IF(Assumptions!$B$33=0,B4,B4-Forecast!F11-Forecast!F10-Forecast!F12)</f>
        <v>3263485656.140401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0.3357507789988065</v>
      </c>
    </row>
    <row r="7" spans="1:2" x14ac:dyDescent="0.25">
      <c r="A7" t="s">
        <v>58</v>
      </c>
      <c r="B7" s="18">
        <f>-MAX(Forecast!F9,0)*B6</f>
        <v>-1095717851.3005707</v>
      </c>
    </row>
    <row r="8" spans="1:2" x14ac:dyDescent="0.25">
      <c r="A8" t="s">
        <v>59</v>
      </c>
      <c r="B8" s="18">
        <f>IF(OR(Assumptions!$B$33=0,Assumptions!B12&lt;=0),B5,MAX(B5+B7,0))</f>
        <v>2167767804.8398304</v>
      </c>
    </row>
    <row r="9" spans="1:2" x14ac:dyDescent="0.25">
      <c r="A9" t="s">
        <v>60</v>
      </c>
      <c r="B9" s="18">
        <f>B8*(1+Assumptions!B12)/(Assumptions!B26-Assumptions!B12)</f>
        <v>44924431903.3234</v>
      </c>
    </row>
    <row r="10" spans="1:2" x14ac:dyDescent="0.25">
      <c r="A10" t="s">
        <v>61</v>
      </c>
      <c r="B10" s="18">
        <f>B9/(1+Assumptions!B26)^(5-0.5*Assumptions!B32)</f>
        <v>32518198307.980576</v>
      </c>
    </row>
    <row r="11" spans="1:2" x14ac:dyDescent="0.25">
      <c r="A11" t="s">
        <v>62</v>
      </c>
      <c r="B11" s="18">
        <f>Forecast!B17+B10</f>
        <v>-26897512503.436256</v>
      </c>
    </row>
    <row r="12" spans="1:2" x14ac:dyDescent="0.25">
      <c r="A12" t="s">
        <v>63</v>
      </c>
      <c r="B12" s="18">
        <f>-Assumptions!B30</f>
        <v>11241000000</v>
      </c>
    </row>
    <row r="13" spans="1:2" x14ac:dyDescent="0.25">
      <c r="A13" t="s">
        <v>64</v>
      </c>
      <c r="B13" s="18">
        <f>B11+B12</f>
        <v>-15656512503.436256</v>
      </c>
    </row>
    <row r="14" spans="1:2" x14ac:dyDescent="0.25">
      <c r="A14" s="19" t="s">
        <v>65</v>
      </c>
      <c r="B14" s="24">
        <f>B13/Assumptions!B31</f>
        <v>-5.4118605265939355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4561344032.258433</v>
      </c>
    </row>
    <row r="18" spans="1:2" x14ac:dyDescent="0.25">
      <c r="A18" t="s">
        <v>60</v>
      </c>
      <c r="B18" s="18">
        <f>B17*Assumptions!B13</f>
        <v>27365936682.65971</v>
      </c>
    </row>
    <row r="19" spans="1:2" x14ac:dyDescent="0.25">
      <c r="A19" t="s">
        <v>61</v>
      </c>
      <c r="B19" s="18">
        <f>B18/(1+Assumptions!B26)^(5-0.5*Assumptions!B32)</f>
        <v>19808619012.59872</v>
      </c>
    </row>
    <row r="20" spans="1:2" x14ac:dyDescent="0.25">
      <c r="A20" t="s">
        <v>62</v>
      </c>
      <c r="B20" s="18">
        <f>Forecast!B17+B19</f>
        <v>-39607091798.818115</v>
      </c>
    </row>
    <row r="21" spans="1:2" x14ac:dyDescent="0.25">
      <c r="A21" t="s">
        <v>63</v>
      </c>
      <c r="B21" s="18">
        <f>-Assumptions!B30</f>
        <v>11241000000</v>
      </c>
    </row>
    <row r="22" spans="1:2" x14ac:dyDescent="0.25">
      <c r="A22" t="s">
        <v>64</v>
      </c>
      <c r="B22" s="18">
        <f>B20+B21</f>
        <v>-28366091798.818115</v>
      </c>
    </row>
    <row r="23" spans="1:2" x14ac:dyDescent="0.25">
      <c r="A23" s="19" t="s">
        <v>65</v>
      </c>
      <c r="B23" s="25">
        <f>B22/Assumptions!B31</f>
        <v>-9.805078395720054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712.4</v>
      </c>
    </row>
    <row r="27" spans="1:3" x14ac:dyDescent="0.25">
      <c r="A27" t="s">
        <v>70</v>
      </c>
      <c r="B27" s="27">
        <v>100</v>
      </c>
      <c r="C27" s="8" t="s">
        <v>71</v>
      </c>
    </row>
    <row r="28" spans="1:2" x14ac:dyDescent="0.25">
      <c r="A28" t="s">
        <v>72</v>
      </c>
      <c r="B28" s="28">
        <f>B14*B27</f>
        <v>-541.1860526593936</v>
      </c>
    </row>
    <row r="29" spans="1:2" x14ac:dyDescent="0.25">
      <c r="A29" s="19" t="s">
        <v>73</v>
      </c>
      <c r="B29" s="12">
        <f>B28/B26-1</f>
        <v>-1.7596659919418776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0.05446</v>
      </c>
      <c r="B5" s="31">
        <v>-0.44320017670920114</v>
      </c>
      <c r="C5" s="31">
        <v>0.026648360185306048</v>
      </c>
      <c r="D5" s="31">
        <v>0.6314881106432648</v>
      </c>
      <c r="E5" s="31">
        <v>1.4541019120911836</v>
      </c>
      <c r="F5" s="31">
        <v>2.6623525993106103</v>
      </c>
    </row>
    <row r="6" spans="1:6" x14ac:dyDescent="0.25">
      <c r="A6" s="30">
        <v>0.06446</v>
      </c>
      <c r="B6" s="31">
        <v>-3.770298858590343</v>
      </c>
      <c r="C6" s="31">
        <v>-3.7042400221949845</v>
      </c>
      <c r="D6" s="31">
        <v>-3.638181185799631</v>
      </c>
      <c r="E6" s="31">
        <v>-3.5721223494042755</v>
      </c>
      <c r="F6" s="31">
        <v>-3.5060635130089195</v>
      </c>
    </row>
    <row r="7" spans="1:6" x14ac:dyDescent="0.25">
      <c r="A7" s="30">
        <v>0.07446</v>
      </c>
      <c r="B7" s="31">
        <v>-5.521523317003037</v>
      </c>
      <c r="C7" s="31">
        <v>-5.466692576390038</v>
      </c>
      <c r="D7" s="32">
        <v>-5.411861835777041</v>
      </c>
      <c r="E7" s="31">
        <v>-5.3570310951640385</v>
      </c>
      <c r="F7" s="31">
        <v>-5.3022003545510366</v>
      </c>
    </row>
    <row r="8" spans="1:6" x14ac:dyDescent="0.25">
      <c r="A8" s="30">
        <v>0.08446</v>
      </c>
      <c r="B8" s="31">
        <v>-6.733321640619812</v>
      </c>
      <c r="C8" s="31">
        <v>-6.686956531991465</v>
      </c>
      <c r="D8" s="31">
        <v>-6.6405914233631185</v>
      </c>
      <c r="E8" s="31">
        <v>-6.594226314734768</v>
      </c>
      <c r="F8" s="31">
        <v>-6.547861206106421</v>
      </c>
    </row>
    <row r="9" spans="1:6" x14ac:dyDescent="0.25">
      <c r="A9" s="30">
        <v>0.09446</v>
      </c>
      <c r="B9" s="31">
        <v>-7.5837937506522275</v>
      </c>
      <c r="C9" s="31">
        <v>-7.544014571618523</v>
      </c>
      <c r="D9" s="31">
        <v>-7.504235392584821</v>
      </c>
      <c r="E9" s="31">
        <v>-7.464456213551117</v>
      </c>
      <c r="F9" s="31">
        <v>-7.424677034517416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57436000000</v>
      </c>
      <c r="C5" s="18">
        <v>39904000000</v>
      </c>
      <c r="D5" s="18">
        <v>40456000000</v>
      </c>
      <c r="E5" s="8" t="s">
        <v>83</v>
      </c>
    </row>
    <row r="6" spans="1:5" x14ac:dyDescent="0.25">
      <c r="A6" t="s">
        <v>44</v>
      </c>
      <c r="B6" s="18">
        <v>1440000000</v>
      </c>
      <c r="C6" s="18">
        <v>997000000</v>
      </c>
      <c r="D6" s="18">
        <v>1441000000</v>
      </c>
      <c r="E6" s="8" t="s">
        <v>84</v>
      </c>
    </row>
    <row r="7" spans="1:5" x14ac:dyDescent="0.25">
      <c r="A7" t="s">
        <v>85</v>
      </c>
      <c r="B7" s="18">
        <v>238000000</v>
      </c>
      <c r="C7" s="18">
        <v>192000000</v>
      </c>
      <c r="D7" s="18">
        <v>185000000</v>
      </c>
      <c r="E7" s="8" t="s">
        <v>86</v>
      </c>
    </row>
    <row r="8" spans="1:5" x14ac:dyDescent="0.25">
      <c r="A8" t="s">
        <v>87</v>
      </c>
      <c r="B8" s="18">
        <v>191000000</v>
      </c>
      <c r="C8" s="18">
        <v>173000000</v>
      </c>
      <c r="D8" s="18">
        <v>350000000</v>
      </c>
      <c r="E8" s="8" t="s">
        <v>88</v>
      </c>
    </row>
    <row r="9" spans="1:5" x14ac:dyDescent="0.25">
      <c r="A9" t="s">
        <v>89</v>
      </c>
      <c r="B9" s="18">
        <v>-18845000000</v>
      </c>
      <c r="C9" s="18">
        <v>-18390000000</v>
      </c>
      <c r="D9" s="18">
        <v>-6617000000</v>
      </c>
      <c r="E9" s="8" t="s">
        <v>90</v>
      </c>
    </row>
    <row r="10" spans="1:5" x14ac:dyDescent="0.25">
      <c r="A10" t="s">
        <v>91</v>
      </c>
      <c r="B10" s="18">
        <v>7306000000</v>
      </c>
      <c r="C10" s="18">
        <v>6886000000</v>
      </c>
      <c r="D10" s="18">
        <v>7367000000</v>
      </c>
      <c r="E10" s="8" t="s">
        <v>92</v>
      </c>
    </row>
    <row r="11" spans="1:5" x14ac:dyDescent="0.25">
      <c r="A11" t="s">
        <v>93</v>
      </c>
      <c r="B11" s="18">
        <v>18547000000</v>
      </c>
      <c r="C11" s="18">
        <v>23811000000</v>
      </c>
      <c r="D11" s="18">
        <v>17529000000</v>
      </c>
      <c r="E11" s="8" t="s">
        <v>94</v>
      </c>
    </row>
    <row r="12" spans="1:5" x14ac:dyDescent="0.25">
      <c r="A12" t="s">
        <v>32</v>
      </c>
      <c r="B12" s="34">
        <v>2893000000</v>
      </c>
      <c r="C12" s="34">
        <v>2931330472</v>
      </c>
      <c r="D12" s="34">
        <v>2916666667</v>
      </c>
      <c r="E12" s="8" t="s">
        <v>95</v>
      </c>
    </row>
    <row r="15" spans="1:1" x14ac:dyDescent="0.25">
      <c r="A15" s="19" t="s">
        <v>96</v>
      </c>
    </row>
    <row r="16" ht="54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54" customHeight="1" spans="1:5" x14ac:dyDescent="0.25">
      <c r="A18" s="35" t="s">
        <v>99</v>
      </c>
      <c r="B18" s="35"/>
      <c r="C18" s="35"/>
      <c r="D18" s="35"/>
      <c r="E18" s="35"/>
    </row>
    <row r="19" ht="22" customHeight="1" spans="1:5" x14ac:dyDescent="0.25">
      <c r="A19" s="35" t="s">
        <v>100</v>
      </c>
      <c r="B19" s="35"/>
      <c r="C19" s="35"/>
      <c r="D19" s="35"/>
      <c r="E19" s="35"/>
    </row>
    <row r="20" ht="54" customHeight="1" spans="1:5" x14ac:dyDescent="0.25">
      <c r="A20" s="35" t="s">
        <v>101</v>
      </c>
      <c r="B20" s="35"/>
      <c r="C20" s="35"/>
      <c r="D20" s="35"/>
      <c r="E20" s="35"/>
    </row>
    <row r="21" ht="22" customHeight="1" spans="1:5" x14ac:dyDescent="0.25">
      <c r="A21" s="35" t="s">
        <v>102</v>
      </c>
      <c r="B21" s="35"/>
      <c r="C21" s="35"/>
      <c r="D21" s="35"/>
      <c r="E21" s="35"/>
    </row>
    <row r="22" ht="22" customHeight="1" spans="1:5" x14ac:dyDescent="0.25">
      <c r="A22" s="35" t="s">
        <v>103</v>
      </c>
      <c r="B22" s="35"/>
      <c r="C22" s="35"/>
      <c r="D22" s="35"/>
      <c r="E22" s="35"/>
    </row>
    <row r="24" spans="1:1" x14ac:dyDescent="0.25">
      <c r="A24" s="36" t="s">
        <v>104</v>
      </c>
    </row>
  </sheetData>
  <mergeCells count="7">
    <mergeCell ref="A16:E16"/>
    <mergeCell ref="A17:E17"/>
    <mergeCell ref="A18:E18"/>
    <mergeCell ref="A19:E19"/>
    <mergeCell ref="A20:E20"/>
    <mergeCell ref="A21:E21"/>
    <mergeCell ref="A22:E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2026-09-19T00:06:40Z</dcterms:modified>
</cp:coreProperties>
</file>