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<sst xmlns="http://schemas.openxmlformats.org/spreadsheetml/2006/main" count="112" uniqueCount="100">
  <si>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Broadcom Inc. (AVGO)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</si>
  <si>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</si>
  <si>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</si>
  <si>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</si>
  <si>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</si>
  <si>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</si>
  <si>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</si>
  <si>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</si>
  <si>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</si>
  <si>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</si>
  <si>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</si>
  <si>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</si>
  <si>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</si>
  <si>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</si>
  <si>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</si>
  <si>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</si>
  <si>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</si>
  <si>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</si>
  <si>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</si>
  <si>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</si>
  <si>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</si>
  <si>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</si>
  <si>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</si>
  <si>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</si>
  <si>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</si>
  <si>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</si>
  <si>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</si>
  <si>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</si>
  <si>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</si>
  <si>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</si>
  <si>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</si>
  <si>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</si>
  <si>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</si>
  <si>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</si>
  <si>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</si>
  <si>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</si>
  <si>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</si>
  <si>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</si>
  <si>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</si>
  <si>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</si>
  <si>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</si>
  <si>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</si>
  <si>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</si>
  <si>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</si>
  <si>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</si>
  <si>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</si>
  <si>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</si>
  <si>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</si>
  <si>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</si>
  <si>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</si>
  <si>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</si>
  <si>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</si>
  <si>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</si>
  <si>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</si>
  <si>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</si>
  <si>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</si>
  <si>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</si>
  <si>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</si>
  <si>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</si>
  <si>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</si>
  <si>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</si>
  <si>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</si>
  <si>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</si>
  <si>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</si>
  <si>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</si>
  <si>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</si>
  <si>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</si>
  <si>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</si>
  <si>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</si>
  <si>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</si>
  <si>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</si>
  <si>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</si>
  <si>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</si>
  <si>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</si>
  <si>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</si>
  <si>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</si>
  <si>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</si>
  <si>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</si>
  <si>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</si>
  <si>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</si>
  <si>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</si>
  <si>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</si>
  <si>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</si>
  <si>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</si>
  <si>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</si>
  <si>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</si>
  <si>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</si>
  <si>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</si>
  <si>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</si>
  <si>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</si>
  <si>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</si>
  <si>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</si>
  <si>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</si>
  <si>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</si>
  <si>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</si>
  <si>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</si>
  <si>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</si>
  <si>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</si>
  <si>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50.4x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</si>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</sst>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0.24378426000041764</v>
      </c>
    </row>
    <row r="7" spans="1:2" x14ac:dyDescent="0.25">
      <c r="A7" t="s">
        <v>5</v>
      </c>
      <c r="B7" s="6">
        <v>0.3970831021508757</v>
      </c>
    </row>
    <row r="8" spans="1:2" x14ac:dyDescent="0.25">
      <c r="A8" t="s">
        <v>6</v>
      </c>
      <c r="B8" s="6">
        <v>0.07551873894161171</v>
      </c>
    </row>
    <row r="9" spans="1:2" x14ac:dyDescent="0.25">
      <c r="A9" t="s">
        <v>7</v>
      </c>
      <c r="B9" s="6">
        <v>0.14715373314836938</v>
      </c>
    </row>
    <row r="10" spans="1:2" x14ac:dyDescent="0.25">
      <c r="A10" t="s">
        <v>8</v>
      </c>
      <c r="B10" s="6">
        <v>0.011441508287488893</v>
      </c>
    </row>
    <row r="11" spans="1:2" x14ac:dyDescent="0.25">
      <c r="A11" t="s">
        <v>9</v>
      </c>
      <c r="B11" s="6">
        <v>0.6280581039755352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0.18850972146019834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1.30619</v>
      </c>
      <c r="C19" s="8" t="s">
        <v>19</v>
      </c>
    </row>
    <row r="20" spans="1:2" x14ac:dyDescent="0.25">
      <c r="A20" t="s">
        <v>20</v>
      </c>
      <c r="B20" s="10">
        <f>B17+B19*B18</f>
        <v>0.12182045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1707097718784</v>
      </c>
    </row>
    <row r="23" spans="1:2" x14ac:dyDescent="0.25">
      <c r="A23" t="s">
        <v>24</v>
      </c>
      <c r="B23" s="11">
        <v>65136000000</v>
      </c>
    </row>
    <row r="24" spans="1:2" x14ac:dyDescent="0.25">
      <c r="A24" t="s">
        <v>25</v>
      </c>
      <c r="B24" s="10">
        <f>B22/(B22+B23)</f>
        <v>0.9632463826245827</v>
      </c>
    </row>
    <row r="25" spans="1:2" x14ac:dyDescent="0.25">
      <c r="A25" t="s">
        <v>26</v>
      </c>
      <c r="B25" s="10">
        <f>1-B24</f>
        <v>0.03675361737541727</v>
      </c>
    </row>
    <row r="26" spans="1:2" x14ac:dyDescent="0.25">
      <c r="A26" t="s">
        <v>27</v>
      </c>
      <c r="B26" s="12">
        <f>B24*B20+B25*B21*(1-B8)</f>
        <v>0.11904132975857222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63887000000</v>
      </c>
      <c r="C29" s="8" t="s">
        <v>30</v>
      </c>
    </row>
    <row r="30" spans="1:2" x14ac:dyDescent="0.25">
      <c r="A30" t="s">
        <v>31</v>
      </c>
      <c r="B30" s="11">
        <v>48958000000</v>
      </c>
    </row>
    <row r="31" spans="1:2" x14ac:dyDescent="0.25">
      <c r="A31" t="s">
        <v>32</v>
      </c>
      <c r="B31" s="13">
        <v>4853000000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0.24378426000041764</v>
      </c>
      <c r="C5" s="10">
        <f>Assumptions!B6</f>
        <v>0.24378426000041764</v>
      </c>
      <c r="D5" s="10">
        <f>Assumptions!B6</f>
        <v>0.24378426000041764</v>
      </c>
      <c r="E5" s="10">
        <f>Assumptions!B6</f>
        <v>0.24378426000041764</v>
      </c>
      <c r="F5" s="10">
        <f>Assumptions!B6</f>
        <v>0.24378426000041764</v>
      </c>
    </row>
    <row r="6" spans="1:6" x14ac:dyDescent="0.25">
      <c r="A6" t="s">
        <v>43</v>
      </c>
      <c r="B6" s="18">
        <f>Assumptions!B29*(1+B5)</f>
        <v>79461645018.64668</v>
      </c>
      <c r="C6" s="18">
        <f>B6*(1+C5)</f>
        <v>98833143347.93333</v>
      </c>
      <c r="D6" s="18">
        <f>C6*(1+D5)</f>
        <v>122927108062.52446</v>
      </c>
      <c r="E6" s="18">
        <f>D6*(1+E5)</f>
        <v>152894802135.53836</v>
      </c>
      <c r="F6" s="18">
        <f>E6*(1+F5)</f>
        <v>190168148332.06085</v>
      </c>
    </row>
    <row r="7" spans="1:6" x14ac:dyDescent="0.25">
      <c r="A7" t="s">
        <v>5</v>
      </c>
      <c r="B7" s="10">
        <f>Assumptions!B7</f>
        <v>0.3970831021508757</v>
      </c>
      <c r="C7" s="10">
        <f>Assumptions!B7</f>
        <v>0.3970831021508757</v>
      </c>
      <c r="D7" s="10">
        <f>Assumptions!B7</f>
        <v>0.3970831021508757</v>
      </c>
      <c r="E7" s="10">
        <f>Assumptions!B7</f>
        <v>0.3970831021508757</v>
      </c>
      <c r="F7" s="10">
        <f>Assumptions!B7</f>
        <v>0.3970831021508757</v>
      </c>
    </row>
    <row r="8" spans="1:6" x14ac:dyDescent="0.25">
      <c r="A8" t="s">
        <v>44</v>
      </c>
      <c r="B8" s="18">
        <f>B6*B7</f>
        <v>31552876506.015907</v>
      </c>
      <c r="C8" s="18">
        <f>C6*C7</f>
        <v>39244971155.919556</v>
      </c>
      <c r="D8" s="18">
        <f>D6*D7</f>
        <v>48812277407.90314</v>
      </c>
      <c r="E8" s="18">
        <f>E6*E7</f>
        <v>60711942334.72391</v>
      </c>
      <c r="F8" s="18">
        <f>F6*F7</f>
        <v>75512558269.9826</v>
      </c>
    </row>
    <row r="9" spans="1:6" x14ac:dyDescent="0.25">
      <c r="A9" t="s">
        <v>45</v>
      </c>
      <c r="B9" s="18">
        <f>B8*(1-Assumptions!B8)</f>
        <v>29170043062.30118</v>
      </c>
      <c r="C9" s="18">
        <f>C8*(1-Assumptions!B8)</f>
        <v>36281240424.42459</v>
      </c>
      <c r="D9" s="18">
        <f>D8*(1-Assumptions!B8)</f>
        <v>45126035773.19017</v>
      </c>
      <c r="E9" s="18">
        <f>E8*(1-Assumptions!B8)</f>
        <v>56127053010.90971</v>
      </c>
      <c r="F9" s="18">
        <f>F8*(1-Assumptions!B8)</f>
        <v>69809945095.17854</v>
      </c>
    </row>
    <row r="10" spans="1:6" x14ac:dyDescent="0.25">
      <c r="A10" t="s">
        <v>46</v>
      </c>
      <c r="B10" s="18">
        <f>B6*Assumptions!B9</f>
        <v>11693077706.60439</v>
      </c>
      <c r="C10" s="18">
        <f>C6*Assumptions!B9</f>
        <v>14543666002.43632</v>
      </c>
      <c r="D10" s="18">
        <f>D6*Assumptions!B9</f>
        <v>18089182856.53349</v>
      </c>
      <c r="E10" s="18">
        <f>E6*Assumptions!B9</f>
        <v>22499040913.22575</v>
      </c>
      <c r="F10" s="18">
        <f>F6*Assumptions!B9</f>
        <v>27983952952.97561</v>
      </c>
    </row>
    <row r="11" spans="1:6" x14ac:dyDescent="0.25">
      <c r="A11" t="s">
        <v>47</v>
      </c>
      <c r="B11" s="18">
        <f>-B6*Assumptions!B10</f>
        <v>-909161070.0183465</v>
      </c>
      <c r="C11" s="18">
        <f>-C6*Assumptions!B10</f>
        <v>-1130800228.693957</v>
      </c>
      <c r="D11" s="18">
        <f>-D6*Assumptions!B10</f>
        <v>-1406471525.6544163</v>
      </c>
      <c r="E11" s="18">
        <f>-E6*Assumptions!B10</f>
        <v>-1749347145.7477367</v>
      </c>
      <c r="F11" s="18">
        <f>-F6*Assumptions!B10</f>
        <v>-2175810445.1576915</v>
      </c>
    </row>
    <row r="12" spans="1:6" x14ac:dyDescent="0.25">
      <c r="A12" t="s">
        <v>48</v>
      </c>
      <c r="B12" s="18">
        <f>-(B6-Assumptions!B29)*Assumptions!B11</f>
        <v>-9781782020.50325</v>
      </c>
      <c r="C12" s="18">
        <f>-(C6-B6)*Assumptions!B11</f>
        <v>-12166426511.857021</v>
      </c>
      <c r="D12" s="18">
        <f>-(D6-C6)*Assumptions!B11</f>
        <v>-15132409795.89955</v>
      </c>
      <c r="E12" s="18">
        <f>-(E6-D6)*Assumptions!B11</f>
        <v>-18821453120.015995</v>
      </c>
      <c r="F12" s="18">
        <f>-(F6-E6)*Assumptions!B11</f>
        <v>-23409827141.011642</v>
      </c>
    </row>
    <row r="13" spans="1:6" x14ac:dyDescent="0.25">
      <c r="A13" s="19" t="s">
        <v>49</v>
      </c>
      <c r="B13" s="20">
        <f>B9+B10+B11+B12</f>
        <v>30172177678.383972</v>
      </c>
      <c r="C13" s="20">
        <f>C9+C10+C11+C12</f>
        <v>37527679686.30994</v>
      </c>
      <c r="D13" s="20">
        <f>D9+D10+D11+D12</f>
        <v>46676337308.16969</v>
      </c>
      <c r="E13" s="20">
        <f>E9+E10+E11+E12</f>
        <v>58055293658.371735</v>
      </c>
      <c r="F13" s="20">
        <f>F9+F10+F11+F12</f>
        <v>72208260461.98482</v>
      </c>
    </row>
    <row r="14" spans="1:6" x14ac:dyDescent="0.25">
      <c r="A14" t="s">
        <v>50</v>
      </c>
      <c r="B14" s="21">
        <f>1/(1+Assumptions!$B$26)^(1-0.5*Assumptions!$B$32)</f>
        <v>0.9453158433165469</v>
      </c>
      <c r="C14" s="21">
        <f>1/(1+Assumptions!$B$26)^(2-0.5*Assumptions!$B$32)</f>
        <v>0.8447550757758826</v>
      </c>
      <c r="D14" s="21">
        <f>1/(1+Assumptions!$B$26)^(3-0.5*Assumptions!$B$32)</f>
        <v>0.7548917571776678</v>
      </c>
      <c r="E14" s="21">
        <f>1/(1+Assumptions!$B$26)^(4-0.5*Assumptions!$B$32)</f>
        <v>0.6745879147649819</v>
      </c>
      <c r="F14" s="21">
        <f>1/(1+Assumptions!$B$26)^(5-0.5*Assumptions!$B$32)</f>
        <v>0.6028266309971957</v>
      </c>
    </row>
    <row r="15" spans="1:6" x14ac:dyDescent="0.25">
      <c r="A15" s="19" t="s">
        <v>51</v>
      </c>
      <c r="B15" s="20">
        <f>B13*B14</f>
        <v>28522237586.73824</v>
      </c>
      <c r="C15" s="20">
        <f>C13*C14</f>
        <v>31701697897.1018</v>
      </c>
      <c r="D15" s="20">
        <f>D13*D14</f>
        <v>35235582289.18175</v>
      </c>
      <c r="E15" s="20">
        <f>E13*E14</f>
        <v>39163399490.069664</v>
      </c>
      <c r="F15" s="20">
        <f>F13*F14</f>
        <v>43529062384.46632</v>
      </c>
    </row>
    <row r="17" spans="1:2" x14ac:dyDescent="0.25">
      <c r="A17" s="22" t="s">
        <v>52</v>
      </c>
      <c r="B17" s="23">
        <f>SUM(B15:F15)</f>
        <v>178151979647.55777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72208260461.98482</v>
      </c>
    </row>
    <row r="5" spans="1:2" x14ac:dyDescent="0.25">
      <c r="A5" t="s">
        <v>56</v>
      </c>
      <c r="B5" s="18">
        <f>IF(Assumptions!$B$33=0,B4,B4-Forecast!F11-Forecast!F10-Forecast!F12)</f>
        <v>93464106061.80147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0.13261915516266073</v>
      </c>
    </row>
    <row r="7" spans="1:2" x14ac:dyDescent="0.25">
      <c r="A7" t="s">
        <v>58</v>
      </c>
      <c r="B7" s="18">
        <f>-MAX(Forecast!F9,0)*B6</f>
        <v>-12395130783.949429</v>
      </c>
    </row>
    <row r="8" spans="1:2" x14ac:dyDescent="0.25">
      <c r="A8" t="s">
        <v>59</v>
      </c>
      <c r="B8" s="18">
        <f>IF(OR(Assumptions!$B$33=0,Assumptions!B12&lt;=0),B5,MAX(B5+B7,0))</f>
        <v>81068975277.85204</v>
      </c>
    </row>
    <row r="9" spans="1:2" x14ac:dyDescent="0.25">
      <c r="A9" t="s">
        <v>60</v>
      </c>
      <c r="B9" s="18">
        <f>B8*(1+Assumptions!B12)/(Assumptions!B26-Assumptions!B12)</f>
        <v>883608301510.8987</v>
      </c>
    </row>
    <row r="10" spans="1:2" x14ac:dyDescent="0.25">
      <c r="A10" t="s">
        <v>61</v>
      </c>
      <c r="B10" s="18">
        <f>B9/(1+Assumptions!B26)^(5-0.5*Assumptions!B32)</f>
        <v>532662615520.96936</v>
      </c>
    </row>
    <row r="11" spans="1:2" x14ac:dyDescent="0.25">
      <c r="A11" t="s">
        <v>62</v>
      </c>
      <c r="B11" s="18">
        <f>Forecast!B17+B10</f>
        <v>710814595168.5271</v>
      </c>
    </row>
    <row r="12" spans="1:2" x14ac:dyDescent="0.25">
      <c r="A12" t="s">
        <v>63</v>
      </c>
      <c r="B12" s="18">
        <f>-Assumptions!B30</f>
        <v>-48958000000</v>
      </c>
    </row>
    <row r="13" spans="1:2" x14ac:dyDescent="0.25">
      <c r="A13" t="s">
        <v>64</v>
      </c>
      <c r="B13" s="18">
        <f>B11+B12</f>
        <v>661856595168.5271</v>
      </c>
    </row>
    <row r="14" spans="1:2" x14ac:dyDescent="0.25">
      <c r="A14" s="19" t="s">
        <v>65</v>
      </c>
      <c r="B14" s="24">
        <f>B13/Assumptions!B31</f>
        <v>136.38091802359924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103496511222.95822</v>
      </c>
    </row>
    <row r="18" spans="1:2" x14ac:dyDescent="0.25">
      <c r="A18" t="s">
        <v>60</v>
      </c>
      <c r="B18" s="18">
        <f>B17*Assumptions!B13</f>
        <v>2069930224459.1646</v>
      </c>
    </row>
    <row r="19" spans="1:2" x14ac:dyDescent="0.25">
      <c r="A19" t="s">
        <v>61</v>
      </c>
      <c r="B19" s="18">
        <f>B18/(1+Assumptions!B26)^(5-0.5*Assumptions!B32)</f>
        <v>1247809063609.9873</v>
      </c>
    </row>
    <row r="20" spans="1:2" x14ac:dyDescent="0.25">
      <c r="A20" t="s">
        <v>62</v>
      </c>
      <c r="B20" s="18">
        <f>Forecast!B17+B19</f>
        <v>1425961043257.5452</v>
      </c>
    </row>
    <row r="21" spans="1:2" x14ac:dyDescent="0.25">
      <c r="A21" t="s">
        <v>63</v>
      </c>
      <c r="B21" s="18">
        <f>-Assumptions!B30</f>
        <v>-48958000000</v>
      </c>
    </row>
    <row r="22" spans="1:2" x14ac:dyDescent="0.25">
      <c r="A22" t="s">
        <v>64</v>
      </c>
      <c r="B22" s="18">
        <f>B20+B21</f>
        <v>1377003043257.5452</v>
      </c>
    </row>
    <row r="23" spans="1:2" x14ac:dyDescent="0.25">
      <c r="A23" s="19" t="s">
        <v>65</v>
      </c>
      <c r="B23" s="25">
        <f>B22/Assumptions!B31</f>
        <v>283.7426423361931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357.61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136.38091802359924</v>
      </c>
    </row>
    <row r="29" spans="1:2" x14ac:dyDescent="0.25">
      <c r="A29" s="19" t="s">
        <v>73</v>
      </c>
      <c r="B29" s="12">
        <f>B28/B26-1</f>
        <v>-0.6186322585397521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0.099041</v>
      </c>
      <c r="B5" s="31">
        <v>168.44337080347174</v>
      </c>
      <c r="C5" s="31">
        <v>173.72101496179957</v>
      </c>
      <c r="D5" s="31">
        <v>179.66635316996164</v>
      </c>
      <c r="E5" s="31">
        <v>186.42445011050197</v>
      </c>
      <c r="F5" s="31">
        <v>194.1856741565826</v>
      </c>
    </row>
    <row r="6" spans="1:6" x14ac:dyDescent="0.25">
      <c r="A6" s="30">
        <v>0.109041</v>
      </c>
      <c r="B6" s="31">
        <v>147.61920961934715</v>
      </c>
      <c r="C6" s="31">
        <v>151.31460358380193</v>
      </c>
      <c r="D6" s="31">
        <v>155.41155894713188</v>
      </c>
      <c r="E6" s="31">
        <v>159.98628199446924</v>
      </c>
      <c r="F6" s="31">
        <v>165.13556389908422</v>
      </c>
    </row>
    <row r="7" spans="1:6" x14ac:dyDescent="0.25">
      <c r="A7" s="30">
        <v>0.119041</v>
      </c>
      <c r="B7" s="31">
        <v>130.8722387506945</v>
      </c>
      <c r="C7" s="31">
        <v>133.50333965921553</v>
      </c>
      <c r="D7" s="32">
        <v>136.38147776709644</v>
      </c>
      <c r="E7" s="31">
        <v>139.5482693858163</v>
      </c>
      <c r="F7" s="31">
        <v>143.05523463844094</v>
      </c>
    </row>
    <row r="8" spans="1:6" x14ac:dyDescent="0.25">
      <c r="A8" s="30">
        <v>0.129041</v>
      </c>
      <c r="B8" s="31">
        <v>117.12650796045651</v>
      </c>
      <c r="C8" s="31">
        <v>119.0198018252765</v>
      </c>
      <c r="D8" s="31">
        <v>121.06663516917912</v>
      </c>
      <c r="E8" s="31">
        <v>123.29026191918699</v>
      </c>
      <c r="F8" s="31">
        <v>125.71888148929584</v>
      </c>
    </row>
    <row r="9" spans="1:6" x14ac:dyDescent="0.25">
      <c r="A9" s="30">
        <v>0.139041</v>
      </c>
      <c r="B9" s="31">
        <v>105.65321787307082</v>
      </c>
      <c r="C9" s="31">
        <v>107.02261708153708</v>
      </c>
      <c r="D9" s="31">
        <v>108.48716237272637</v>
      </c>
      <c r="E9" s="31">
        <v>110.05994232103595</v>
      </c>
      <c r="F9" s="31">
        <v>111.75656154249988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63887000000</v>
      </c>
      <c r="C5" s="18">
        <v>51574000000</v>
      </c>
      <c r="D5" s="18">
        <v>35819000000</v>
      </c>
      <c r="E5" s="18">
        <v>33203000000</v>
      </c>
      <c r="F5" s="8" t="s">
        <v>84</v>
      </c>
    </row>
    <row r="6" spans="1:6" x14ac:dyDescent="0.25">
      <c r="A6" t="s">
        <v>44</v>
      </c>
      <c r="B6" s="18">
        <v>26075000000</v>
      </c>
      <c r="C6" s="18">
        <v>14996000000</v>
      </c>
      <c r="D6" s="18">
        <v>16451000000</v>
      </c>
      <c r="E6" s="18">
        <v>14282000000</v>
      </c>
      <c r="F6" s="8" t="s">
        <v>85</v>
      </c>
    </row>
    <row r="7" spans="1:6" x14ac:dyDescent="0.25">
      <c r="A7" t="s">
        <v>86</v>
      </c>
      <c r="B7" s="18">
        <v>8775000000</v>
      </c>
      <c r="C7" s="18">
        <v>10010000000</v>
      </c>
      <c r="D7" s="18">
        <v>3835000000</v>
      </c>
      <c r="E7" s="18">
        <v>4984000000</v>
      </c>
      <c r="F7" s="8" t="s">
        <v>87</v>
      </c>
    </row>
    <row r="8" spans="1:6" x14ac:dyDescent="0.25">
      <c r="A8" t="s">
        <v>88</v>
      </c>
      <c r="B8" s="18">
        <v>623000000</v>
      </c>
      <c r="C8" s="18">
        <v>548000000</v>
      </c>
      <c r="D8" s="18">
        <v>452000000</v>
      </c>
      <c r="E8" s="18">
        <v>424000000</v>
      </c>
      <c r="F8" s="8" t="s">
        <v>89</v>
      </c>
    </row>
    <row r="9" spans="1:6" x14ac:dyDescent="0.25">
      <c r="A9" t="s">
        <v>90</v>
      </c>
      <c r="B9" s="18">
        <v>8500000000</v>
      </c>
      <c r="C9" s="18">
        <v>4637000000</v>
      </c>
      <c r="D9" s="18">
        <v>1643000000</v>
      </c>
      <c r="E9" s="18">
        <v>1654000000</v>
      </c>
      <c r="F9" s="8" t="s">
        <v>91</v>
      </c>
    </row>
    <row r="10" spans="1:6" x14ac:dyDescent="0.25">
      <c r="A10" t="s">
        <v>92</v>
      </c>
      <c r="B10" s="18">
        <v>65136000000</v>
      </c>
      <c r="C10" s="18">
        <v>67566000000</v>
      </c>
      <c r="D10" s="18">
        <v>39229000000</v>
      </c>
      <c r="E10" s="18">
        <v>39515000000</v>
      </c>
      <c r="F10" s="8" t="s">
        <v>93</v>
      </c>
    </row>
    <row r="11" spans="1:6" x14ac:dyDescent="0.25">
      <c r="A11" t="s">
        <v>94</v>
      </c>
      <c r="B11" s="18">
        <v>16178000000</v>
      </c>
      <c r="C11" s="18">
        <v>9348000000</v>
      </c>
      <c r="D11" s="18">
        <v>14189000000</v>
      </c>
      <c r="E11" s="18">
        <v>12416000000</v>
      </c>
      <c r="F11" s="8" t="s">
        <v>95</v>
      </c>
    </row>
    <row r="12" spans="1:6" x14ac:dyDescent="0.25">
      <c r="A12" t="s">
        <v>32</v>
      </c>
      <c r="B12" s="34">
        <v>4853000000</v>
      </c>
      <c r="C12" s="34">
        <v>4778000000</v>
      </c>
      <c r="D12" s="34">
        <v>4270000000</v>
      </c>
      <c r="E12" s="34">
        <v>4230000000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