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<sst xmlns="http://schemas.openxmlformats.org/spreadsheetml/2006/main" count="120" uniqueCount="107">
  <si>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Broadcom Inc. (AVGO)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</si>
  <si>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</si>
  <si>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</si>
  <si>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</si>
  <si>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</si>
  <si>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</si>
  <si>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</si>
  <si>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</si>
  <si>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</si>
  <si>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</si>
  <si>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</si>
  <si>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</si>
  <si>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</si>
  <si>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</si>
  <si>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</si>
  <si>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</si>
  <si>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</si>
  <si>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</si>
  <si>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</si>
  <si>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</si>
  <si>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</si>
  <si>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</si>
  <si>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</si>
  <si>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</si>
  <si>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8.1x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</si>
  <si>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</si>
  <si>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</si>
  <si>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</si>
  <si>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</si>
  <si>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</si>
  <si>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</si>
  <si>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</si>
  <si>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</si>
  <si>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</si>
  <si>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</si>
  <si>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</si>
  <si>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</si>
  <si>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</si>
  <si>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</si>
  <si>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</si>
  <si>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</si>
  <si>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</si>
  <si>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</si>
  <si>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</si>
  <si>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</si>
  <si>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</si>
  <si>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</si>
  <si>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</si>
  <si>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</si>
  <si>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</si>
  <si>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</si>
  <si>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</si>
  <si>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</si>
  <si>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</si>
  <si>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</si>
  <si>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</si>
  <si>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</si>
  <si>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</si>
  <si>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</si>
  <si>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</si>
  <si>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</si>
  <si>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</si>
  <si>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</si>
  <si>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</si>
  <si>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</si>
  <si>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</si>
  <si>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</si>
  <si>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</si>
  <si>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</si>
  <si>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</si>
  <si>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</si>
  <si>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</si>
  <si>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</si>
  <si>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</si>
  <si>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</si>
  <si>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</si>
  <si>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</si>
  <si>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</si>
  <si>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</si>
  <si>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</si>
  <si>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</si>
  <si>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</si>
  <si>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</si>
  <si>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</si>
  <si>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</si>
  <si>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</si>
  <si>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</si>
  <si>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</si>
  <si>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</si>
  <si>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</si>
  <si>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</si>
  <si>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</si>
  <si>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</si>
  <si>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</si>
  <si>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</si>
  <si>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</si>
  <si>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</si>
  <si>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</si>
  <si>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</si>
  <si>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</si>
  <si>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</si>
  <si>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</si>
  <si>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</si>
  <si>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</si>
  <si>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</si>
  <si>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45.5x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</si>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</sst>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0.3970831021508757</v>
      </c>
    </row>
    <row r="8" spans="1:2" x14ac:dyDescent="0.25">
      <c r="A8" t="s">
        <v>5</v>
      </c>
      <c r="B8" s="5">
        <v>0.07551873894161171</v>
      </c>
    </row>
    <row r="9" spans="1:2" x14ac:dyDescent="0.25">
      <c r="A9" t="s">
        <v>6</v>
      </c>
      <c r="B9" s="5">
        <v>0.14715373314836938</v>
      </c>
    </row>
    <row r="10" spans="1:3" x14ac:dyDescent="0.25">
      <c r="A10" t="s">
        <v>7</v>
      </c>
      <c r="B10" s="5">
        <v>0.011441508287488893</v>
      </c>
      <c r="C10" s="6" t="s">
        <v>8</v>
      </c>
    </row>
    <row r="11" spans="1:2" x14ac:dyDescent="0.25">
      <c r="A11" t="s">
        <v>9</v>
      </c>
      <c r="B11" s="5">
        <v>0.11213450428860755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0.18850972146019834</v>
      </c>
      <c r="C14" s="6" t="s">
        <v>13</v>
      </c>
    </row>
    <row r="15" spans="1:3" x14ac:dyDescent="0.25">
      <c r="A15" t="s">
        <v>14</v>
      </c>
      <c r="B15" s="5">
        <v>0.012607464667612554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1.34036</v>
      </c>
      <c r="C19" s="6" t="s">
        <v>21</v>
      </c>
    </row>
    <row r="20" spans="1:2" x14ac:dyDescent="0.25">
      <c r="A20" t="s">
        <v>22</v>
      </c>
      <c r="B20" s="9">
        <f>B17+B19*B18</f>
        <v>0.105637228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1538206859264</v>
      </c>
    </row>
    <row r="23" spans="1:2" x14ac:dyDescent="0.25">
      <c r="A23" t="s">
        <v>26</v>
      </c>
      <c r="B23" s="10">
        <v>65136000000</v>
      </c>
    </row>
    <row r="24" spans="1:2" x14ac:dyDescent="0.25">
      <c r="A24" t="s">
        <v>27</v>
      </c>
      <c r="B24" s="9">
        <f>B22/(B22+B23)</f>
        <v>0.9593748775418502</v>
      </c>
    </row>
    <row r="25" spans="1:2" x14ac:dyDescent="0.25">
      <c r="A25" t="s">
        <v>28</v>
      </c>
      <c r="B25" s="9">
        <f>1-B24</f>
        <v>0.040625122458149754</v>
      </c>
    </row>
    <row r="26" spans="1:2" x14ac:dyDescent="0.25">
      <c r="A26" t="s">
        <v>29</v>
      </c>
      <c r="B26" s="11">
        <f>B24*B20+B25*B21*(1-B8)</f>
        <v>0.10339031470851559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63887000000</v>
      </c>
      <c r="C29" s="6" t="s">
        <v>32</v>
      </c>
    </row>
    <row r="30" spans="1:2" x14ac:dyDescent="0.25">
      <c r="A30" t="s">
        <v>33</v>
      </c>
      <c r="B30" s="10">
        <v>48958000000</v>
      </c>
    </row>
    <row r="31" spans="1:2" x14ac:dyDescent="0.25">
      <c r="A31" t="s">
        <v>34</v>
      </c>
      <c r="B31" s="12">
        <v>4853000000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9">
        <f>Assumptions!B6</f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95830500000</v>
      </c>
      <c r="C6" s="18">
        <f>B6*(1+C5)</f>
        <v>143745750000</v>
      </c>
      <c r="D6" s="18">
        <f>C6*(1+D5)</f>
        <v>207083721093.75</v>
      </c>
      <c r="E6" s="18">
        <f>D6*(1+E5)</f>
        <v>286034389760.7422</v>
      </c>
      <c r="F6" s="18">
        <f>E6*(1+F5)</f>
        <v>378101708964.9811</v>
      </c>
      <c r="G6" s="18">
        <f>F6*(1+G5)</f>
        <v>477353407568.2886</v>
      </c>
      <c r="H6" s="18">
        <f>G6*(1+H5)</f>
        <v>574315818480.5972</v>
      </c>
      <c r="I6" s="18">
        <f>H6*(1+I5)</f>
        <v>656873717387.183</v>
      </c>
      <c r="J6" s="18">
        <f>I6*(1+J5)</f>
        <v>712297437291.7266</v>
      </c>
      <c r="K6" s="18">
        <f>J6*(1+K5)</f>
        <v>730104873224.0197</v>
      </c>
    </row>
    <row r="7" spans="1:11" x14ac:dyDescent="0.25">
      <c r="A7" t="s">
        <v>4</v>
      </c>
      <c r="B7" s="9">
        <f>Assumptions!B7</f>
        <v>0.3970831021508757</v>
      </c>
      <c r="C7" s="9">
        <f>Assumptions!B7</f>
        <v>0.3970831021508757</v>
      </c>
      <c r="D7" s="9">
        <f>Assumptions!B7</f>
        <v>0.3970831021508757</v>
      </c>
      <c r="E7" s="9">
        <f>Assumptions!B7</f>
        <v>0.3970831021508757</v>
      </c>
      <c r="F7" s="9">
        <f>Assumptions!B7</f>
        <v>0.3970831021508757</v>
      </c>
      <c r="G7" s="9">
        <f>Assumptions!B7</f>
        <v>0.3970831021508757</v>
      </c>
      <c r="H7" s="9">
        <f>Assumptions!B7</f>
        <v>0.3970831021508757</v>
      </c>
      <c r="I7" s="9">
        <f>Assumptions!B7</f>
        <v>0.3970831021508757</v>
      </c>
      <c r="J7" s="9">
        <f>Assumptions!B7</f>
        <v>0.3970831021508757</v>
      </c>
      <c r="K7" s="9">
        <f>Assumptions!B7</f>
        <v>0.3970831021508757</v>
      </c>
    </row>
    <row r="8" spans="1:11" x14ac:dyDescent="0.25">
      <c r="A8" t="s">
        <v>51</v>
      </c>
      <c r="B8" s="18">
        <f>B6*B7</f>
        <v>38052672220.669495</v>
      </c>
      <c r="C8" s="18">
        <f>C6*C7</f>
        <v>57079008331.00424</v>
      </c>
      <c r="D8" s="18">
        <f>D6*D7</f>
        <v>82229446376.85298</v>
      </c>
      <c r="E8" s="18">
        <f>E6*E7</f>
        <v>113579422808.0282</v>
      </c>
      <c r="F8" s="18">
        <f>F6*F7</f>
        <v>150137799524.36227</v>
      </c>
      <c r="G8" s="18">
        <f>G6*G7</f>
        <v>189548971899.50735</v>
      </c>
      <c r="H8" s="18">
        <f>H6*H7</f>
        <v>228051106816.59476</v>
      </c>
      <c r="I8" s="18">
        <f>I6*I7</f>
        <v>260833453421.48026</v>
      </c>
      <c r="J8" s="18">
        <f>J6*J7</f>
        <v>282841276053.91766</v>
      </c>
      <c r="K8" s="18">
        <f>K6*K7</f>
        <v>289912307955.26556</v>
      </c>
    </row>
    <row r="9" spans="1:11" x14ac:dyDescent="0.25">
      <c r="A9" t="s">
        <v>52</v>
      </c>
      <c r="B9" s="18">
        <f>B8*(1-Assumptions!B8)</f>
        <v>35178982401.20604</v>
      </c>
      <c r="C9" s="18">
        <f>C8*(1-Assumptions!B8)</f>
        <v>52768473601.80906</v>
      </c>
      <c r="D9" s="18">
        <f>D8*(1-Assumptions!B8)</f>
        <v>76019582282.60617</v>
      </c>
      <c r="E9" s="18">
        <f>E8*(1-Assumptions!B8)</f>
        <v>105002048027.84978</v>
      </c>
      <c r="F9" s="18">
        <f>F8*(1-Assumptions!B8)</f>
        <v>138799582236.81393</v>
      </c>
      <c r="G9" s="18">
        <f>G8*(1-Assumptions!B8)</f>
        <v>175234472573.97757</v>
      </c>
      <c r="H9" s="18">
        <f>H8*(1-Assumptions!B8)</f>
        <v>210828974815.56674</v>
      </c>
      <c r="I9" s="18">
        <f>I8*(1-Assumptions!B8)</f>
        <v>241135639945.30447</v>
      </c>
      <c r="J9" s="18">
        <f>J8*(1-Assumptions!B8)</f>
        <v>261481459565.68954</v>
      </c>
      <c r="K9" s="18">
        <f>K8*(1-Assumptions!B8)</f>
        <v>268018496054.83173</v>
      </c>
    </row>
    <row r="10" spans="1:11" x14ac:dyDescent="0.25">
      <c r="A10" t="s">
        <v>53</v>
      </c>
      <c r="B10" s="18">
        <f>B6*Assumptions!B9</f>
        <v>14101815824.474812</v>
      </c>
      <c r="C10" s="18">
        <f>C6*Assumptions!B9</f>
        <v>21152723736.71222</v>
      </c>
      <c r="D10" s="18">
        <f>D6*Assumptions!B9</f>
        <v>30473142633.20104</v>
      </c>
      <c r="E10" s="18">
        <f>E6*Assumptions!B9</f>
        <v>42091028262.10893</v>
      </c>
      <c r="F10" s="18">
        <f>F6*Assumptions!B9</f>
        <v>55639077983.97525</v>
      </c>
      <c r="G10" s="18">
        <f>G6*Assumptions!B9</f>
        <v>70244335954.76875</v>
      </c>
      <c r="H10" s="18">
        <f>H6*Assumptions!B9</f>
        <v>84512716695.58115</v>
      </c>
      <c r="I10" s="18">
        <f>I6*Assumptions!B9</f>
        <v>96661419720.57092</v>
      </c>
      <c r="J10" s="18">
        <f>J6*Assumptions!B9</f>
        <v>104817227009.49411</v>
      </c>
      <c r="K10" s="18">
        <f>K6*Assumptions!B9</f>
        <v>107437657684.73145</v>
      </c>
    </row>
    <row r="11" spans="1:11" x14ac:dyDescent="0.25">
      <c r="A11" t="s">
        <v>54</v>
      </c>
      <c r="B11" s="18">
        <f>-B6*B19</f>
        <v>-1096445459.9442043</v>
      </c>
      <c r="C11" s="18">
        <f>-C6*C19</f>
        <v>-2704326772.6501155</v>
      </c>
      <c r="D11" s="18">
        <f>-D6*D19</f>
        <v>-5422491402.599965</v>
      </c>
      <c r="E11" s="18">
        <f>-E6*E19</f>
        <v>-9598391954.284624</v>
      </c>
      <c r="F11" s="18">
        <f>-F6*F19</f>
        <v>-15475147873.88113</v>
      </c>
      <c r="G11" s="18">
        <f>-G6*G19</f>
        <v>-23056306996.28025</v>
      </c>
      <c r="H11" s="18">
        <f>-H6*H19</f>
        <v>-31973335386.52327</v>
      </c>
      <c r="I11" s="18">
        <f>-I6*I19</f>
        <v>-41411815059.50546</v>
      </c>
      <c r="J11" s="18">
        <f>-J6*J19</f>
        <v>-50156819801.325645</v>
      </c>
      <c r="K11" s="18">
        <f>-K6*K19</f>
        <v>-56792895213.68755</v>
      </c>
    </row>
    <row r="12" spans="1:11" x14ac:dyDescent="0.25">
      <c r="A12" t="s">
        <v>55</v>
      </c>
      <c r="B12" s="18">
        <f>-(B6-Assumptions!B29)*Assumptions!B11</f>
        <v>-3581968537.7431355</v>
      </c>
      <c r="C12" s="18">
        <f>-(C6-B6)*Assumptions!B11</f>
        <v>-5372952806.614703</v>
      </c>
      <c r="D12" s="18">
        <f>-(D6-C6)*Assumptions!B11</f>
        <v>-7102371991.243811</v>
      </c>
      <c r="E12" s="18">
        <f>-(E6-D6)*Assumptions!B11</f>
        <v>-8853094094.22727</v>
      </c>
      <c r="F12" s="18">
        <f>-(F6-E6)*Assumptions!B11</f>
        <v>-10323923200.148327</v>
      </c>
      <c r="G12" s="18">
        <f>-(G6-F6)*Assumptions!B11</f>
        <v>-11129540022.684168</v>
      </c>
      <c r="H12" s="18">
        <f>-(H6-G6)*Assumptions!B11</f>
        <v>-10872831882.279995</v>
      </c>
      <c r="I12" s="18">
        <f>-(I6-H6)*Assumptions!B11</f>
        <v>-9257589068.998976</v>
      </c>
      <c r="J12" s="18">
        <f>-(J6-I6)*Assumptions!B11</f>
        <v>-6214911357.326626</v>
      </c>
      <c r="K12" s="18">
        <f>-(K6-J6)*Assumptions!B11</f>
        <v>-1996828000.9188237</v>
      </c>
    </row>
    <row r="13" spans="1:11" x14ac:dyDescent="0.25">
      <c r="A13" s="19" t="s">
        <v>56</v>
      </c>
      <c r="B13" s="20">
        <f>B9+B10+B11+B12</f>
        <v>44602384227.99351</v>
      </c>
      <c r="C13" s="20">
        <f>C9+C10+C11+C12</f>
        <v>65843917759.256454</v>
      </c>
      <c r="D13" s="20">
        <f>D9+D10+D11+D12</f>
        <v>93967861521.96344</v>
      </c>
      <c r="E13" s="20">
        <f>E9+E10+E11+E12</f>
        <v>128641590241.44681</v>
      </c>
      <c r="F13" s="20">
        <f>F9+F10+F11+F12</f>
        <v>168639589146.75974</v>
      </c>
      <c r="G13" s="20">
        <f>G9+G10+G11+G12</f>
        <v>211292961509.78192</v>
      </c>
      <c r="H13" s="20">
        <f>H9+H10+H11+H12</f>
        <v>252495524242.34464</v>
      </c>
      <c r="I13" s="20">
        <f>I9+I10+I11+I12</f>
        <v>287127655537.3709</v>
      </c>
      <c r="J13" s="20">
        <f>J9+J10+J11+J12</f>
        <v>309926955416.53143</v>
      </c>
      <c r="K13" s="20">
        <f>K9+K10+K11+K12</f>
        <v>316666430524.9568</v>
      </c>
    </row>
    <row r="14" spans="1:11" x14ac:dyDescent="0.25">
      <c r="A14" t="s">
        <v>57</v>
      </c>
      <c r="B14" s="21">
        <f>1/(1+Assumptions!$B$26)^(1-0.5*Assumptions!$B$32)</f>
        <v>0.9519966414657377</v>
      </c>
      <c r="C14" s="21">
        <f>1/(1+Assumptions!$B$26)^(2-0.5*Assumptions!$B$32)</f>
        <v>0.8627922764731066</v>
      </c>
      <c r="D14" s="21">
        <f>1/(1+Assumptions!$B$26)^(3-0.5*Assumptions!$B$32)</f>
        <v>0.7819465740924433</v>
      </c>
      <c r="E14" s="21">
        <f>1/(1+Assumptions!$B$26)^(4-0.5*Assumptions!$B$32)</f>
        <v>0.7086763076210356</v>
      </c>
      <c r="F14" s="21">
        <f>1/(1+Assumptions!$B$26)^(5-0.5*Assumptions!$B$32)</f>
        <v>0.64227164057376</v>
      </c>
      <c r="G14" s="21">
        <f>1/(1+Assumptions!$B$26)^(6-0.5*Assumptions!$B$32)</f>
        <v>0.5820892498439503</v>
      </c>
      <c r="H14" s="21">
        <f>1/(1+Assumptions!$B$26)^(7-0.5*Assumptions!$B$32)</f>
        <v>0.5275460932405608</v>
      </c>
      <c r="I14" s="21">
        <f>1/(1+Assumptions!$B$26)^(8-0.5*Assumptions!$B$32)</f>
        <v>0.4781137610220219</v>
      </c>
      <c r="J14" s="21">
        <f>1/(1+Assumptions!$B$26)^(9-0.5*Assumptions!$B$32)</f>
        <v>0.4333133567048991</v>
      </c>
      <c r="K14" s="21">
        <f>1/(1+Assumptions!$B$26)^(10-0.5*Assumptions!$B$32)</f>
        <v>0.3927108575530394</v>
      </c>
    </row>
    <row r="15" spans="1:11" x14ac:dyDescent="0.25">
      <c r="A15" s="19" t="s">
        <v>58</v>
      </c>
      <c r="B15" s="20">
        <f>B13*B14</f>
        <v>42461319986.41421</v>
      </c>
      <c r="C15" s="20">
        <f>C13*C14</f>
        <v>56809623695.41689</v>
      </c>
      <c r="D15" s="20">
        <f>D13*D14</f>
        <v>73477847391.89244</v>
      </c>
      <c r="E15" s="20">
        <f>E13*E14</f>
        <v>91165247178.80678</v>
      </c>
      <c r="F15" s="20">
        <f>F13*F14</f>
        <v>108312425586.97421</v>
      </c>
      <c r="G15" s="20">
        <f>G13*G14</f>
        <v>122991361462.53561</v>
      </c>
      <c r="H15" s="20">
        <f>H13*H14</f>
        <v>133203027374.77621</v>
      </c>
      <c r="I15" s="20">
        <f>I13*I14</f>
        <v>137279683282.40797</v>
      </c>
      <c r="J15" s="20">
        <f>J13*J14</f>
        <v>134295489384.86685</v>
      </c>
      <c r="K15" s="20">
        <f>K13*K14</f>
        <v>124358345489.71576</v>
      </c>
    </row>
    <row r="17" spans="1:2" x14ac:dyDescent="0.25">
      <c r="A17" s="22" t="s">
        <v>59</v>
      </c>
      <c r="B17" s="23">
        <f>SUM(B15:K15)</f>
        <v>1024354370833.8069</v>
      </c>
    </row>
    <row r="19" spans="1:11" x14ac:dyDescent="0.25">
      <c r="A19" t="s">
        <v>7</v>
      </c>
      <c r="B19" s="9">
        <f>Assumptions!$B$10+($B$20-Assumptions!$B$10)*0/9</f>
        <v>0.011441508287488893</v>
      </c>
      <c r="C19" s="9">
        <f>Assumptions!$B$10+($B$20-Assumptions!$B$10)*1/9</f>
        <v>0.018813264201898945</v>
      </c>
      <c r="D19" s="9">
        <f>Assumptions!$B$10+($B$20-Assumptions!$B$10)*2/9</f>
        <v>0.026185020116308994</v>
      </c>
      <c r="E19" s="9">
        <f>Assumptions!$B$10+($B$20-Assumptions!$B$10)*3/9</f>
        <v>0.03355677603071905</v>
      </c>
      <c r="F19" s="9">
        <f>Assumptions!$B$10+($B$20-Assumptions!$B$10)*4/9</f>
        <v>0.04092853194512909</v>
      </c>
      <c r="G19" s="9">
        <f>Assumptions!$B$10+($B$20-Assumptions!$B$10)*5/9</f>
        <v>0.048300287859539145</v>
      </c>
      <c r="H19" s="9">
        <f>Assumptions!$B$10+($B$20-Assumptions!$B$10)*6/9</f>
        <v>0.0556720437739492</v>
      </c>
      <c r="I19" s="9">
        <f>Assumptions!$B$10+($B$20-Assumptions!$B$10)*7/9</f>
        <v>0.06304379968835924</v>
      </c>
      <c r="J19" s="9">
        <f>Assumptions!$B$10+($B$20-Assumptions!$B$10)*8/9</f>
        <v>0.0704155556027693</v>
      </c>
      <c r="K19" s="9">
        <f>Assumptions!$B$10+($B$20-Assumptions!$B$10)*9/9</f>
        <v>0.07778731151717935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0.07778731151717935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316666430524.9568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358832958651.38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0.13261915516266073</v>
      </c>
    </row>
    <row r="7" spans="1:2" x14ac:dyDescent="0.25">
      <c r="A7" t="s">
        <v>66</v>
      </c>
      <c r="B7" s="18">
        <f>-MAX(B5,0)*B6</f>
        <v>-47588123820.86399</v>
      </c>
    </row>
    <row r="8" spans="1:2" x14ac:dyDescent="0.25">
      <c r="A8" t="s">
        <v>67</v>
      </c>
      <c r="B8" s="18">
        <f>IF(OR(Assumptions!$B$33=0,Assumptions!B12&lt;=0),B5,MAX(B5+B7,0))</f>
        <v>311244834830.516</v>
      </c>
    </row>
    <row r="9" spans="1:2" x14ac:dyDescent="0.25">
      <c r="A9" t="s">
        <v>68</v>
      </c>
      <c r="B9" s="18">
        <f>B8*(1+Assumptions!B12)/(Assumptions!B26-Assumptions!B12)</f>
        <v>4069711378089.7075</v>
      </c>
    </row>
    <row r="10" spans="1:2" x14ac:dyDescent="0.25">
      <c r="A10" t="s">
        <v>69</v>
      </c>
      <c r="B10" s="18">
        <f>B9/(1+Assumptions!B26)^(10-0.5*Assumptions!B32)</f>
        <v>1598219845282.971</v>
      </c>
    </row>
    <row r="11" spans="1:2" x14ac:dyDescent="0.25">
      <c r="A11" t="s">
        <v>70</v>
      </c>
      <c r="B11" s="18">
        <f>Forecast!B17+B10</f>
        <v>2622574216116.778</v>
      </c>
    </row>
    <row r="12" spans="1:2" x14ac:dyDescent="0.25">
      <c r="A12" t="s">
        <v>71</v>
      </c>
      <c r="B12" s="18">
        <f>-Assumptions!B30</f>
        <v>-48958000000</v>
      </c>
    </row>
    <row r="13" spans="1:2" x14ac:dyDescent="0.25">
      <c r="A13" t="s">
        <v>72</v>
      </c>
      <c r="B13" s="18">
        <f>B11+B12</f>
        <v>2573616216116.778</v>
      </c>
    </row>
    <row r="14" spans="1:2" x14ac:dyDescent="0.25">
      <c r="A14" s="19" t="s">
        <v>73</v>
      </c>
      <c r="B14" s="24">
        <f>B13/Assumptions!B31</f>
        <v>530.3144892060124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397349965639.997</v>
      </c>
    </row>
    <row r="18" spans="1:2" x14ac:dyDescent="0.25">
      <c r="A18" t="s">
        <v>68</v>
      </c>
      <c r="B18" s="18">
        <f>B17*Assumptions!B13</f>
        <v>7946999312799.94</v>
      </c>
    </row>
    <row r="19" spans="1:2" x14ac:dyDescent="0.25">
      <c r="A19" t="s">
        <v>69</v>
      </c>
      <c r="B19" s="18">
        <f>B18/(1+Assumptions!B26)^(10-0.5*Assumptions!B32)</f>
        <v>3120872915103.0796</v>
      </c>
    </row>
    <row r="20" spans="1:2" x14ac:dyDescent="0.25">
      <c r="A20" t="s">
        <v>70</v>
      </c>
      <c r="B20" s="18">
        <f>Forecast!B17+B19</f>
        <v>4145227285936.8867</v>
      </c>
    </row>
    <row r="21" spans="1:2" x14ac:dyDescent="0.25">
      <c r="A21" t="s">
        <v>71</v>
      </c>
      <c r="B21" s="18">
        <f>-Assumptions!B30</f>
        <v>-48958000000</v>
      </c>
    </row>
    <row r="22" spans="1:2" x14ac:dyDescent="0.25">
      <c r="A22" t="s">
        <v>72</v>
      </c>
      <c r="B22" s="18">
        <f>B20+B21</f>
        <v>4096269285936.8867</v>
      </c>
    </row>
    <row r="23" spans="1:2" x14ac:dyDescent="0.25">
      <c r="A23" s="19" t="s">
        <v>73</v>
      </c>
      <c r="B23" s="25">
        <f>B22/Assumptions!B31</f>
        <v>844.0695005021403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322.23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530.3144892060124</v>
      </c>
    </row>
    <row r="29" spans="1:2" x14ac:dyDescent="0.25">
      <c r="A29" s="19" t="s">
        <v>81</v>
      </c>
      <c r="B29" s="11">
        <f>B28/B26-1</f>
        <v>0.6457638618564763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0.08339</v>
      </c>
      <c r="B5" s="31">
        <v>705.5235034613734</v>
      </c>
      <c r="C5" s="31">
        <v>726.2651218370037</v>
      </c>
      <c r="D5" s="31">
        <v>751.1294205863873</v>
      </c>
      <c r="E5" s="31">
        <v>781.2746728993791</v>
      </c>
      <c r="F5" s="31">
        <v>818.337876160854</v>
      </c>
    </row>
    <row r="6" spans="1:6" x14ac:dyDescent="0.25">
      <c r="A6" s="30">
        <v>0.09339</v>
      </c>
      <c r="B6" s="31">
        <v>597.8705507077913</v>
      </c>
      <c r="C6" s="31">
        <v>609.9154389041219</v>
      </c>
      <c r="D6" s="31">
        <v>624.1801093378805</v>
      </c>
      <c r="E6" s="31">
        <v>641.1898299308442</v>
      </c>
      <c r="F6" s="31">
        <v>661.6497856870901</v>
      </c>
    </row>
    <row r="7" spans="1:6" x14ac:dyDescent="0.25">
      <c r="A7" s="30">
        <v>0.10339</v>
      </c>
      <c r="B7" s="31">
        <v>515.3485334627607</v>
      </c>
      <c r="C7" s="31">
        <v>522.2068385822604</v>
      </c>
      <c r="D7" s="32">
        <v>530.3170558045232</v>
      </c>
      <c r="E7" s="31">
        <v>539.9350603379079</v>
      </c>
      <c r="F7" s="31">
        <v>551.3915556429621</v>
      </c>
    </row>
    <row r="8" spans="1:6" x14ac:dyDescent="0.25">
      <c r="A8" s="30">
        <v>0.11339</v>
      </c>
      <c r="B8" s="31">
        <v>450.2503003587112</v>
      </c>
      <c r="C8" s="31">
        <v>453.89756598452675</v>
      </c>
      <c r="D8" s="31">
        <v>458.272805155954</v>
      </c>
      <c r="E8" s="31">
        <v>463.5069640677911</v>
      </c>
      <c r="F8" s="31">
        <v>469.7643978177052</v>
      </c>
    </row>
    <row r="9" spans="1:6" x14ac:dyDescent="0.25">
      <c r="A9" s="30">
        <v>0.12339</v>
      </c>
      <c r="B9" s="31">
        <v>397.7159370941526</v>
      </c>
      <c r="C9" s="31">
        <v>399.32407332611746</v>
      </c>
      <c r="D9" s="31">
        <v>401.36303605285076</v>
      </c>
      <c r="E9" s="31">
        <v>403.9020232336798</v>
      </c>
      <c r="F9" s="31">
        <v>407.0258902460388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63887000000</v>
      </c>
      <c r="C5" s="18">
        <v>51574000000</v>
      </c>
      <c r="D5" s="18">
        <v>35819000000</v>
      </c>
      <c r="E5" s="18">
        <v>33203000000</v>
      </c>
      <c r="F5" s="6" t="s">
        <v>91</v>
      </c>
    </row>
    <row r="6" spans="1:6" x14ac:dyDescent="0.25">
      <c r="A6" t="s">
        <v>51</v>
      </c>
      <c r="B6" s="18">
        <v>26075000000</v>
      </c>
      <c r="C6" s="18">
        <v>14996000000</v>
      </c>
      <c r="D6" s="18">
        <v>16451000000</v>
      </c>
      <c r="E6" s="18">
        <v>14282000000</v>
      </c>
      <c r="F6" s="6" t="s">
        <v>92</v>
      </c>
    </row>
    <row r="7" spans="1:6" x14ac:dyDescent="0.25">
      <c r="A7" t="s">
        <v>93</v>
      </c>
      <c r="B7" s="18">
        <v>8775000000</v>
      </c>
      <c r="C7" s="18">
        <v>10010000000</v>
      </c>
      <c r="D7" s="18">
        <v>3835000000</v>
      </c>
      <c r="E7" s="18">
        <v>4984000000</v>
      </c>
      <c r="F7" s="6" t="s">
        <v>94</v>
      </c>
    </row>
    <row r="8" spans="1:6" x14ac:dyDescent="0.25">
      <c r="A8" t="s">
        <v>95</v>
      </c>
      <c r="B8" s="18">
        <v>623000000</v>
      </c>
      <c r="C8" s="18">
        <v>548000000</v>
      </c>
      <c r="D8" s="18">
        <v>452000000</v>
      </c>
      <c r="E8" s="18">
        <v>424000000</v>
      </c>
      <c r="F8" s="6" t="s">
        <v>96</v>
      </c>
    </row>
    <row r="9" spans="1:6" x14ac:dyDescent="0.25">
      <c r="A9" t="s">
        <v>97</v>
      </c>
      <c r="B9" s="18">
        <v>8500000000</v>
      </c>
      <c r="C9" s="18">
        <v>4637000000</v>
      </c>
      <c r="D9" s="18">
        <v>1643000000</v>
      </c>
      <c r="E9" s="18">
        <v>1654000000</v>
      </c>
      <c r="F9" s="6" t="s">
        <v>98</v>
      </c>
    </row>
    <row r="10" spans="1:6" x14ac:dyDescent="0.25">
      <c r="A10" t="s">
        <v>99</v>
      </c>
      <c r="B10" s="18">
        <v>65136000000</v>
      </c>
      <c r="C10" s="18">
        <v>67566000000</v>
      </c>
      <c r="D10" s="18">
        <v>39229000000</v>
      </c>
      <c r="E10" s="18">
        <v>39515000000</v>
      </c>
      <c r="F10" s="6" t="s">
        <v>100</v>
      </c>
    </row>
    <row r="11" spans="1:6" x14ac:dyDescent="0.25">
      <c r="A11" t="s">
        <v>101</v>
      </c>
      <c r="B11" s="18">
        <v>16178000000</v>
      </c>
      <c r="C11" s="18">
        <v>9348000000</v>
      </c>
      <c r="D11" s="18">
        <v>14189000000</v>
      </c>
      <c r="E11" s="18">
        <v>12416000000</v>
      </c>
      <c r="F11" s="6" t="s">
        <v>102</v>
      </c>
    </row>
    <row r="12" spans="1:6" x14ac:dyDescent="0.25">
      <c r="A12" t="s">
        <v>34</v>
      </c>
      <c r="B12" s="34">
        <v>4853000000</v>
      </c>
      <c r="C12" s="34">
        <v>4778000000</v>
      </c>
      <c r="D12" s="34">
        <v>4270000000</v>
      </c>
      <c r="E12" s="34">
        <v>4230000000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