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<sst xmlns="http://schemas.openxmlformats.org/spreadsheetml/2006/main" count="114" uniqueCount="102">
  <si>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Avio S.p.A. (AVIO.MI)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</si>
  <si>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</si>
  <si>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</si>
  <si>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</si>
  <si>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</si>
  <si>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</si>
  <si>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</si>
  <si>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</si>
  <si>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</si>
  <si>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</si>
  <si>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</si>
  <si>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</si>
  <si>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</si>
  <si>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</si>
  <si>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</si>
  <si>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</si>
  <si>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</si>
  <si>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</si>
  <si>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</si>
  <si>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</si>
  <si>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</si>
  <si>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</si>
  <si>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</si>
  <si>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</si>
  <si>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</si>
  <si>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</si>
  <si>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</si>
  <si>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</si>
  <si>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</si>
  <si>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</si>
  <si>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</si>
  <si>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</si>
  <si>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</si>
  <si>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</si>
  <si>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</si>
  <si>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</si>
  <si>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</si>
  <si>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</si>
  <si>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</si>
  <si>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</si>
  <si>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</si>
  <si>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</si>
  <si>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</si>
  <si>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</si>
  <si>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</si>
  <si>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</si>
  <si>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</si>
  <si>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</si>
  <si>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</si>
  <si>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</si>
  <si>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</si>
  <si>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</si>
  <si>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</si>
  <si>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</si>
  <si>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</si>
  <si>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</si>
  <si>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</si>
  <si>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</si>
  <si>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</si>
  <si>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</si>
  <si>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</si>
  <si>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</si>
  <si>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</si>
  <si>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</si>
  <si>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</si>
  <si>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</si>
  <si>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</si>
  <si>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</si>
  <si>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</si>
  <si>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</si>
  <si>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</si>
  <si>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</si>
  <si>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</si>
  <si>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</si>
  <si>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</si>
  <si>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</si>
  <si>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</si>
  <si>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</si>
  <si>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</si>
  <si>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</si>
  <si>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</si>
  <si>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</si>
  <si>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</si>
  <si>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</si>
  <si>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</si>
  <si>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</si>
  <si>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</si>
  <si>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</si>
  <si>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</si>
  <si>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</si>
  <si>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</si>
  <si>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</si>
  <si>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</si>
  <si>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</si>
  <si>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</si>
  <si>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</si>
  <si>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</si>
  <si>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</si>
  <si>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8.5% of revenue against depreciation of 4.2%.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</si>
  <si>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</si>
  <si>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35.9x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</si>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</sst>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0.16266808073308114</v>
      </c>
    </row>
    <row r="7" spans="1:2" x14ac:dyDescent="0.25">
      <c r="A7" t="s">
        <v>5</v>
      </c>
      <c r="B7" s="6">
        <v>0.011202918564388419</v>
      </c>
    </row>
    <row r="8" spans="1:2" x14ac:dyDescent="0.25">
      <c r="A8" t="s">
        <v>6</v>
      </c>
      <c r="B8" s="6">
        <v>0.05409298332899637</v>
      </c>
    </row>
    <row r="9" spans="1:2" x14ac:dyDescent="0.25">
      <c r="A9" t="s">
        <v>7</v>
      </c>
      <c r="B9" s="6">
        <v>0.04179860993410426</v>
      </c>
    </row>
    <row r="10" spans="1:2" x14ac:dyDescent="0.25">
      <c r="A10" t="s">
        <v>8</v>
      </c>
      <c r="B10" s="6">
        <v>0.08541010285389215</v>
      </c>
    </row>
    <row r="11" spans="1:2" x14ac:dyDescent="0.25">
      <c r="A11" t="s">
        <v>9</v>
      </c>
      <c r="B11" s="6">
        <v>-0.27288352532455656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0.10251631535604414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0.93836</v>
      </c>
      <c r="C19" s="8" t="s">
        <v>19</v>
      </c>
    </row>
    <row r="20" spans="1:2" x14ac:dyDescent="0.25">
      <c r="A20" t="s">
        <v>20</v>
      </c>
      <c r="B20" s="10">
        <f>B17+B19*B18</f>
        <v>0.10299340000000001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1329944960</v>
      </c>
    </row>
    <row r="23" spans="1:2" x14ac:dyDescent="0.25">
      <c r="A23" t="s">
        <v>24</v>
      </c>
      <c r="B23" s="11">
        <v>10105340</v>
      </c>
    </row>
    <row r="24" spans="1:2" x14ac:dyDescent="0.25">
      <c r="A24" t="s">
        <v>25</v>
      </c>
      <c r="B24" s="10">
        <f>B22/(B22+B23)</f>
        <v>0.9924589845619974</v>
      </c>
    </row>
    <row r="25" spans="1:2" x14ac:dyDescent="0.25">
      <c r="A25" t="s">
        <v>26</v>
      </c>
      <c r="B25" s="10">
        <f>1-B24</f>
        <v>0.007541015438002563</v>
      </c>
    </row>
    <row r="26" spans="1:2" x14ac:dyDescent="0.25">
      <c r="A26" t="s">
        <v>27</v>
      </c>
      <c r="B26" s="12">
        <f>B24*B20+B25*B21*(1-B8)</f>
        <v>0.10251631535604414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583690000</v>
      </c>
      <c r="C29" s="8" t="s">
        <v>30</v>
      </c>
    </row>
    <row r="30" spans="1:2" x14ac:dyDescent="0.25">
      <c r="A30" t="s">
        <v>31</v>
      </c>
      <c r="B30" s="11">
        <v>-281740660</v>
      </c>
    </row>
    <row r="31" spans="1:2" x14ac:dyDescent="0.25">
      <c r="A31" t="s">
        <v>32</v>
      </c>
      <c r="B31" s="13">
        <v>29672728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0.16266808073308114</v>
      </c>
      <c r="C5" s="10">
        <f>Assumptions!B6</f>
        <v>0.16266808073308114</v>
      </c>
      <c r="D5" s="10">
        <f>Assumptions!B6</f>
        <v>0.16266808073308114</v>
      </c>
      <c r="E5" s="10">
        <f>Assumptions!B6</f>
        <v>0.16266808073308114</v>
      </c>
      <c r="F5" s="10">
        <f>Assumptions!B6</f>
        <v>0.16266808073308114</v>
      </c>
    </row>
    <row r="6" spans="1:6" x14ac:dyDescent="0.25">
      <c r="A6" t="s">
        <v>43</v>
      </c>
      <c r="B6" s="18">
        <f>Assumptions!B29*(1+B5)</f>
        <v>678637732.0430921</v>
      </c>
      <c r="C6" s="18">
        <f>B6*(1+C5)</f>
        <v>789030429.4275929</v>
      </c>
      <c r="D6" s="18">
        <f>C6*(1+D5)</f>
        <v>917380495.0225782</v>
      </c>
      <c r="E6" s="18">
        <f>D6*(1+E5)</f>
        <v>1066609019.449865</v>
      </c>
      <c r="F6" s="18">
        <f>E6*(1+F5)</f>
        <v>1240112261.5363681</v>
      </c>
    </row>
    <row r="7" spans="1:6" x14ac:dyDescent="0.25">
      <c r="A7" t="s">
        <v>5</v>
      </c>
      <c r="B7" s="10">
        <f>Assumptions!B7</f>
        <v>0.011202918564388419</v>
      </c>
      <c r="C7" s="10">
        <f>Assumptions!B7</f>
        <v>0.011202918564388419</v>
      </c>
      <c r="D7" s="10">
        <f>Assumptions!B7</f>
        <v>0.011202918564388419</v>
      </c>
      <c r="E7" s="10">
        <f>Assumptions!B7</f>
        <v>0.011202918564388419</v>
      </c>
      <c r="F7" s="10">
        <f>Assumptions!B7</f>
        <v>0.011202918564388419</v>
      </c>
    </row>
    <row r="8" spans="1:6" x14ac:dyDescent="0.25">
      <c r="A8" t="s">
        <v>44</v>
      </c>
      <c r="B8" s="18">
        <f>B6*B7</f>
        <v>7602723.24680001</v>
      </c>
      <c r="C8" s="18">
        <f>C6*C7</f>
        <v>8839443.645701746</v>
      </c>
      <c r="D8" s="18">
        <f>D6*D7</f>
        <v>10277338.97829628</v>
      </c>
      <c r="E8" s="18">
        <f>E6*E7</f>
        <v>11949133.98493902</v>
      </c>
      <c r="F8" s="18">
        <f>F6*F7</f>
        <v>13892876.676691486</v>
      </c>
    </row>
    <row r="9" spans="1:6" x14ac:dyDescent="0.25">
      <c r="A9" t="s">
        <v>45</v>
      </c>
      <c r="B9" s="18">
        <f>B8*(1-Assumptions!B8)</f>
        <v>7191469.264955884</v>
      </c>
      <c r="C9" s="18">
        <f>C8*(1-Assumptions!B8)</f>
        <v>8361291.767937198</v>
      </c>
      <c r="D9" s="18">
        <f>D8*(1-Assumptions!B8)</f>
        <v>9721407.052276855</v>
      </c>
      <c r="E9" s="18">
        <f>E8*(1-Assumptions!B8)</f>
        <v>11302769.67949577</v>
      </c>
      <c r="F9" s="18">
        <f>F8*(1-Assumptions!B8)</f>
        <v>13141369.53022741</v>
      </c>
    </row>
    <row r="10" spans="1:6" x14ac:dyDescent="0.25">
      <c r="A10" t="s">
        <v>46</v>
      </c>
      <c r="B10" s="18">
        <f>B6*Assumptions!B9</f>
        <v>28366113.848234374</v>
      </c>
      <c r="C10" s="18">
        <f>C6*Assumptions!B9</f>
        <v>32980375.145782735</v>
      </c>
      <c r="D10" s="18">
        <f>D6*Assumptions!B9</f>
        <v>38345229.47260422</v>
      </c>
      <c r="E10" s="18">
        <f>E6*Assumptions!B9</f>
        <v>44582774.35618233</v>
      </c>
      <c r="F10" s="18">
        <f>F6*Assumptions!B9</f>
        <v>51834968.69445854</v>
      </c>
    </row>
    <row r="11" spans="1:6" x14ac:dyDescent="0.25">
      <c r="A11" t="s">
        <v>47</v>
      </c>
      <c r="B11" s="18">
        <f>-B6*Assumptions!B10</f>
        <v>-57962518.494332604</v>
      </c>
      <c r="C11" s="18">
        <f>-C6*Assumptions!B10</f>
        <v>-67391170.1322614</v>
      </c>
      <c r="D11" s="18">
        <f>-D6*Assumptions!B10</f>
        <v>-78353562.4360329</v>
      </c>
      <c r="E11" s="18">
        <f>-E6*Assumptions!B10</f>
        <v>-91099186.05610202</v>
      </c>
      <c r="F11" s="18">
        <f>-F6*Assumptions!B10</f>
        <v>-105918115.80819401</v>
      </c>
    </row>
    <row r="12" spans="1:6" x14ac:dyDescent="0.25">
      <c r="A12" t="s">
        <v>48</v>
      </c>
      <c r="B12" s="18">
        <f>-(B6-Assumptions!B29)*Assumptions!B11</f>
        <v>25909671.841490343</v>
      </c>
      <c r="C12" s="18">
        <f>-(C6-B6)*Assumptions!B11</f>
        <v>30124348.43236952</v>
      </c>
      <c r="D12" s="18">
        <f>-(D6-C6)*Assumptions!B11</f>
        <v>35024618.375197686</v>
      </c>
      <c r="E12" s="18">
        <f>-(E6-D6)*Assumptions!B11</f>
        <v>40722005.82469971</v>
      </c>
      <c r="F12" s="18">
        <f>-(F6-E6)*Assumptions!B11</f>
        <v>47346176.35580495</v>
      </c>
    </row>
    <row r="13" spans="1:6" x14ac:dyDescent="0.25">
      <c r="A13" s="19" t="s">
        <v>49</v>
      </c>
      <c r="B13" s="20">
        <f>B9+B10+B11+B12</f>
        <v>3504736.460347995</v>
      </c>
      <c r="C13" s="20">
        <f>C9+C10+C11+C12</f>
        <v>4074845.213828061</v>
      </c>
      <c r="D13" s="20">
        <f>D9+D10+D11+D12</f>
        <v>4737692.46404586</v>
      </c>
      <c r="E13" s="20">
        <f>E9+E10+E11+E12</f>
        <v>5508363.804275788</v>
      </c>
      <c r="F13" s="20">
        <f>F9+F10+F11+F12</f>
        <v>6404398.772296883</v>
      </c>
    </row>
    <row r="14" spans="1:6" x14ac:dyDescent="0.25">
      <c r="A14" t="s">
        <v>50</v>
      </c>
      <c r="B14" s="21">
        <f>1/(1+Assumptions!$B$26)^(1-0.5*Assumptions!$B$32)</f>
        <v>0.9523739055501721</v>
      </c>
      <c r="C14" s="21">
        <f>1/(1+Assumptions!$B$26)^(2-0.5*Assumptions!$B$32)</f>
        <v>0.8638184236236127</v>
      </c>
      <c r="D14" s="21">
        <f>1/(1+Assumptions!$B$26)^(3-0.5*Assumptions!$B$32)</f>
        <v>0.7834971796718065</v>
      </c>
      <c r="E14" s="21">
        <f>1/(1+Assumptions!$B$26)^(4-0.5*Assumptions!$B$32)</f>
        <v>0.7106445217718032</v>
      </c>
      <c r="F14" s="21">
        <f>1/(1+Assumptions!$B$26)^(5-0.5*Assumptions!$B$32)</f>
        <v>0.6445659913362001</v>
      </c>
    </row>
    <row r="15" spans="1:6" x14ac:dyDescent="0.25">
      <c r="A15" s="19" t="s">
        <v>51</v>
      </c>
      <c r="B15" s="20">
        <f>B13*B14</f>
        <v>3337819.550665706</v>
      </c>
      <c r="C15" s="20">
        <f>C13*C14</f>
        <v>3519926.3691191785</v>
      </c>
      <c r="D15" s="20">
        <f>D13*D14</f>
        <v>3711968.683732303</v>
      </c>
      <c r="E15" s="20">
        <f>E13*E14</f>
        <v>3914488.561434678</v>
      </c>
      <c r="F15" s="20">
        <f>F13*F14</f>
        <v>4128057.643577883</v>
      </c>
    </row>
    <row r="17" spans="1:2" x14ac:dyDescent="0.25">
      <c r="A17" s="22" t="s">
        <v>52</v>
      </c>
      <c r="B17" s="23">
        <f>SUM(B15:F15)</f>
        <v>18612260.80852975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6404398.772296883</v>
      </c>
    </row>
    <row r="5" spans="1:2" x14ac:dyDescent="0.25">
      <c r="A5" t="s">
        <v>56</v>
      </c>
      <c r="B5" s="18">
        <f>IF(Assumptions!$B$33=0,B4,B4-Forecast!F11-Forecast!F10-Forecast!F12)</f>
        <v>31442811.493777163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0.24386362222611874</v>
      </c>
    </row>
    <row r="7" spans="1:2" x14ac:dyDescent="0.25">
      <c r="A7" t="s">
        <v>58</v>
      </c>
      <c r="B7" s="18">
        <f>-MAX(Forecast!F9,0)*B6</f>
        <v>-7667757.903845538</v>
      </c>
    </row>
    <row r="8" spans="1:2" x14ac:dyDescent="0.25">
      <c r="A8" t="s">
        <v>59</v>
      </c>
      <c r="B8" s="18">
        <f>IF(OR(Assumptions!$B$33=0,Assumptions!B12&lt;=0),B5,MAX(B5+B7,0))</f>
        <v>23775053.589931626</v>
      </c>
    </row>
    <row r="9" spans="1:2" x14ac:dyDescent="0.25">
      <c r="A9" t="s">
        <v>60</v>
      </c>
      <c r="B9" s="18">
        <f>B8*(1+Assumptions!B12)/(Assumptions!B26-Assumptions!B12)</f>
        <v>314378074.057667</v>
      </c>
    </row>
    <row r="10" spans="1:2" x14ac:dyDescent="0.25">
      <c r="A10" t="s">
        <v>61</v>
      </c>
      <c r="B10" s="18">
        <f>B9/(1+Assumptions!B26)^(5-0.5*Assumptions!B32)</f>
        <v>202637414.95934546</v>
      </c>
    </row>
    <row r="11" spans="1:2" x14ac:dyDescent="0.25">
      <c r="A11" t="s">
        <v>62</v>
      </c>
      <c r="B11" s="18">
        <f>Forecast!B17+B10</f>
        <v>221249675.7678752</v>
      </c>
    </row>
    <row r="12" spans="1:2" x14ac:dyDescent="0.25">
      <c r="A12" t="s">
        <v>63</v>
      </c>
      <c r="B12" s="18">
        <f>-Assumptions!B30</f>
        <v>281740660</v>
      </c>
    </row>
    <row r="13" spans="1:2" x14ac:dyDescent="0.25">
      <c r="A13" t="s">
        <v>64</v>
      </c>
      <c r="B13" s="18">
        <f>B11+B12</f>
        <v>502990335.7678752</v>
      </c>
    </row>
    <row r="14" spans="1:2" x14ac:dyDescent="0.25">
      <c r="A14" s="19" t="s">
        <v>65</v>
      </c>
      <c r="B14" s="24">
        <f>B13/Assumptions!B31</f>
        <v>16.95126702768533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65727845.371150024</v>
      </c>
    </row>
    <row r="18" spans="1:2" x14ac:dyDescent="0.25">
      <c r="A18" t="s">
        <v>60</v>
      </c>
      <c r="B18" s="18">
        <f>B17*Assumptions!B13</f>
        <v>1314556907.4230006</v>
      </c>
    </row>
    <row r="19" spans="1:2" x14ac:dyDescent="0.25">
      <c r="A19" t="s">
        <v>61</v>
      </c>
      <c r="B19" s="18">
        <f>B18/(1+Assumptions!B26)^(5-0.5*Assumptions!B32)</f>
        <v>847318676.2009557</v>
      </c>
    </row>
    <row r="20" spans="1:2" x14ac:dyDescent="0.25">
      <c r="A20" t="s">
        <v>62</v>
      </c>
      <c r="B20" s="18">
        <f>Forecast!B17+B19</f>
        <v>865930937.0094855</v>
      </c>
    </row>
    <row r="21" spans="1:2" x14ac:dyDescent="0.25">
      <c r="A21" t="s">
        <v>63</v>
      </c>
      <c r="B21" s="18">
        <f>-Assumptions!B30</f>
        <v>281740660</v>
      </c>
    </row>
    <row r="22" spans="1:2" x14ac:dyDescent="0.25">
      <c r="A22" t="s">
        <v>64</v>
      </c>
      <c r="B22" s="18">
        <f>B20+B21</f>
        <v>1147671597.0094855</v>
      </c>
    </row>
    <row r="23" spans="1:2" x14ac:dyDescent="0.25">
      <c r="A23" s="19" t="s">
        <v>65</v>
      </c>
      <c r="B23" s="25">
        <f>B22/Assumptions!B31</f>
        <v>38.67765703947023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28.81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16.95126702768533</v>
      </c>
    </row>
    <row r="29" spans="1:2" x14ac:dyDescent="0.25">
      <c r="A29" s="19" t="s">
        <v>73</v>
      </c>
      <c r="B29" s="12">
        <f>B28/B26-1</f>
        <v>-0.4116186384003704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0.082516</v>
      </c>
      <c r="B5" s="31">
        <v>19.276051496128062</v>
      </c>
      <c r="C5" s="31">
        <v>19.320992345383278</v>
      </c>
      <c r="D5" s="31">
        <v>19.365933194638494</v>
      </c>
      <c r="E5" s="31">
        <v>19.410874043893713</v>
      </c>
      <c r="F5" s="31">
        <v>19.45581489314893</v>
      </c>
    </row>
    <row r="6" spans="1:6" x14ac:dyDescent="0.25">
      <c r="A6" s="30">
        <v>0.092516</v>
      </c>
      <c r="B6" s="31">
        <v>17.944382077824223</v>
      </c>
      <c r="C6" s="31">
        <v>17.98284054107926</v>
      </c>
      <c r="D6" s="31">
        <v>18.021299004334296</v>
      </c>
      <c r="E6" s="31">
        <v>18.059757467589332</v>
      </c>
      <c r="F6" s="31">
        <v>18.09821593084437</v>
      </c>
    </row>
    <row r="7" spans="1:6" x14ac:dyDescent="0.25">
      <c r="A7" s="30">
        <v>0.102516</v>
      </c>
      <c r="B7" s="31">
        <v>16.88467183730467</v>
      </c>
      <c r="C7" s="31">
        <v>16.91798456500382</v>
      </c>
      <c r="D7" s="32">
        <v>16.951297292702964</v>
      </c>
      <c r="E7" s="31">
        <v>16.984610020402112</v>
      </c>
      <c r="F7" s="31">
        <v>17.01792274810126</v>
      </c>
    </row>
    <row r="8" spans="1:6" x14ac:dyDescent="0.25">
      <c r="A8" s="30">
        <v>0.112516</v>
      </c>
      <c r="B8" s="31">
        <v>16.023776735062064</v>
      </c>
      <c r="C8" s="31">
        <v>16.05292021584948</v>
      </c>
      <c r="D8" s="31">
        <v>16.082063696636897</v>
      </c>
      <c r="E8" s="31">
        <v>16.111207177424312</v>
      </c>
      <c r="F8" s="31">
        <v>16.140350658211727</v>
      </c>
    </row>
    <row r="9" spans="1:6" x14ac:dyDescent="0.25">
      <c r="A9" s="30">
        <v>0.122516</v>
      </c>
      <c r="B9" s="31">
        <v>15.312471331392922</v>
      </c>
      <c r="C9" s="31">
        <v>15.338179708484086</v>
      </c>
      <c r="D9" s="31">
        <v>15.36388808557525</v>
      </c>
      <c r="E9" s="31">
        <v>15.389596462666411</v>
      </c>
      <c r="F9" s="31">
        <v>15.415304839757574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583690000</v>
      </c>
      <c r="C5" s="18">
        <v>480421000</v>
      </c>
      <c r="D5" s="18">
        <v>343696000</v>
      </c>
      <c r="E5" s="18">
        <v>371377000</v>
      </c>
      <c r="F5" s="8" t="s">
        <v>84</v>
      </c>
    </row>
    <row r="6" spans="1:6" x14ac:dyDescent="0.25">
      <c r="A6" t="s">
        <v>44</v>
      </c>
      <c r="B6" s="18">
        <v>8876301</v>
      </c>
      <c r="C6" s="18">
        <v>5017934</v>
      </c>
      <c r="D6" s="18">
        <v>2322936</v>
      </c>
      <c r="E6" s="18">
        <v>4605407</v>
      </c>
      <c r="F6" s="8" t="s">
        <v>85</v>
      </c>
    </row>
    <row r="7" spans="1:6" x14ac:dyDescent="0.25">
      <c r="A7" t="s">
        <v>86</v>
      </c>
      <c r="B7" s="18">
        <v>20295000</v>
      </c>
      <c r="C7" s="18">
        <v>17436000</v>
      </c>
      <c r="D7" s="18">
        <v>15283000</v>
      </c>
      <c r="E7" s="18">
        <v>19187000</v>
      </c>
      <c r="F7" s="8" t="s">
        <v>87</v>
      </c>
    </row>
    <row r="8" spans="1:6" x14ac:dyDescent="0.25">
      <c r="A8" t="s">
        <v>88</v>
      </c>
      <c r="B8" s="18">
        <v>43952000</v>
      </c>
      <c r="C8" s="18">
        <v>35090000</v>
      </c>
      <c r="D8" s="18">
        <v>36345000</v>
      </c>
      <c r="E8" s="18">
        <v>32515000</v>
      </c>
      <c r="F8" s="8" t="s">
        <v>89</v>
      </c>
    </row>
    <row r="9" spans="1:6" x14ac:dyDescent="0.25">
      <c r="A9" t="s">
        <v>90</v>
      </c>
      <c r="B9" s="18">
        <v>-138805000</v>
      </c>
      <c r="C9" s="18">
        <v>-37310000</v>
      </c>
      <c r="D9" s="18">
        <v>-30471000</v>
      </c>
      <c r="E9" s="18">
        <v>-20228000</v>
      </c>
      <c r="F9" s="8" t="s">
        <v>91</v>
      </c>
    </row>
    <row r="10" spans="1:6" x14ac:dyDescent="0.25">
      <c r="A10" t="s">
        <v>92</v>
      </c>
      <c r="B10" s="18">
        <v>10105340</v>
      </c>
      <c r="C10" s="18">
        <v>11542526</v>
      </c>
      <c r="D10" s="18">
        <v>19461650</v>
      </c>
      <c r="E10" s="18">
        <v>56952778</v>
      </c>
      <c r="F10" s="8" t="s">
        <v>93</v>
      </c>
    </row>
    <row r="11" spans="1:6" x14ac:dyDescent="0.25">
      <c r="A11" t="s">
        <v>94</v>
      </c>
      <c r="B11" s="18">
        <v>291846000</v>
      </c>
      <c r="C11" s="18">
        <v>101684000</v>
      </c>
      <c r="D11" s="18">
        <v>95593462</v>
      </c>
      <c r="E11" s="18">
        <v>131403014</v>
      </c>
      <c r="F11" s="8" t="s">
        <v>95</v>
      </c>
    </row>
    <row r="12" spans="1:6" x14ac:dyDescent="0.25">
      <c r="A12" t="s">
        <v>32</v>
      </c>
      <c r="B12" s="34">
        <v>29672728</v>
      </c>
      <c r="C12" s="34">
        <v>32920952</v>
      </c>
      <c r="D12" s="34">
        <v>25949488</v>
      </c>
      <c r="E12" s="34">
        <v>25268139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