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<sst xmlns="http://schemas.openxmlformats.org/spreadsheetml/2006/main" count="119" uniqueCount="106">
  <si>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Avery Dennison Corporation (AVY)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</si>
  <si>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</si>
  <si>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</si>
  <si>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</si>
  <si>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</si>
  <si>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</si>
  <si>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</si>
  <si>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</si>
  <si>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</si>
  <si>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</si>
  <si>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</si>
  <si>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</si>
  <si>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</si>
  <si>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</si>
  <si>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</si>
  <si>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</si>
  <si>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</si>
  <si>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</si>
  <si>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</si>
  <si>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</si>
  <si>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</si>
  <si>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</si>
  <si>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</si>
  <si>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</si>
  <si>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8.3x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</si>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</sst>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0.05951440121958096</v>
      </c>
    </row>
    <row r="7" spans="1:2" x14ac:dyDescent="0.25">
      <c r="A7" t="s">
        <v>4</v>
      </c>
      <c r="B7" s="5">
        <v>0.12206785745495219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0.035138371299867764</v>
      </c>
    </row>
    <row r="10" spans="1:3" x14ac:dyDescent="0.25">
      <c r="A10" t="s">
        <v>7</v>
      </c>
      <c r="B10" s="5">
        <v>0.02928142110743745</v>
      </c>
      <c r="C10" s="6" t="s">
        <v>8</v>
      </c>
    </row>
    <row r="11" spans="1:2" x14ac:dyDescent="0.25">
      <c r="A11" t="s">
        <v>9</v>
      </c>
      <c r="B11" s="5">
        <v>0.1262966735207205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12.203656308539944</v>
      </c>
    </row>
    <row r="14" spans="1:3" x14ac:dyDescent="0.25">
      <c r="A14" t="s">
        <v>12</v>
      </c>
      <c r="B14" s="5">
        <v>0.15491946120088163</v>
      </c>
      <c r="C14" s="6" t="s">
        <v>13</v>
      </c>
    </row>
    <row r="15" spans="1:3" x14ac:dyDescent="0.25">
      <c r="A15" t="s">
        <v>14</v>
      </c>
      <c r="B15" s="5">
        <v>0.021962189092287816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0.84992</v>
      </c>
      <c r="C19" s="6" t="s">
        <v>21</v>
      </c>
    </row>
    <row r="20" spans="1:2" x14ac:dyDescent="0.25">
      <c r="A20" t="s">
        <v>22</v>
      </c>
      <c r="B20" s="9">
        <f>B17+B19*B18</f>
        <v>0.084891616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14189608960</v>
      </c>
    </row>
    <row r="23" spans="1:2" x14ac:dyDescent="0.25">
      <c r="A23" t="s">
        <v>26</v>
      </c>
      <c r="B23" s="10">
        <v>3732900000</v>
      </c>
    </row>
    <row r="24" spans="1:2" x14ac:dyDescent="0.25">
      <c r="A24" t="s">
        <v>27</v>
      </c>
      <c r="B24" s="9">
        <f>B22/(B22+B23)</f>
        <v>0.7917200092726303</v>
      </c>
    </row>
    <row r="25" spans="1:2" x14ac:dyDescent="0.25">
      <c r="A25" t="s">
        <v>28</v>
      </c>
      <c r="B25" s="9">
        <f>1-B24</f>
        <v>0.2082799907273697</v>
      </c>
    </row>
    <row r="26" spans="1:2" x14ac:dyDescent="0.25">
      <c r="A26" t="s">
        <v>29</v>
      </c>
      <c r="B26" s="11">
        <f>B24*B20+B25*B21*(1-B8)</f>
        <v>0.076168013535895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8855500000</v>
      </c>
      <c r="C29" s="6" t="s">
        <v>32</v>
      </c>
    </row>
    <row r="30" spans="1:2" x14ac:dyDescent="0.25">
      <c r="A30" t="s">
        <v>33</v>
      </c>
      <c r="B30" s="10">
        <v>3530100000</v>
      </c>
    </row>
    <row r="31" spans="1:2" x14ac:dyDescent="0.25">
      <c r="A31" t="s">
        <v>34</v>
      </c>
      <c r="B31" s="12">
        <v>78300000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0.05951440121958096</v>
      </c>
      <c r="C5" s="5">
        <v>0.02761695257843355</v>
      </c>
      <c r="D5" s="5">
        <v>0.027289833506129357</v>
      </c>
      <c r="E5" s="5">
        <v>0.026962714433825162</v>
      </c>
      <c r="F5" s="5">
        <v>0.02663559536152097</v>
      </c>
      <c r="G5" s="5">
        <v>0.026308476289216776</v>
      </c>
      <c r="H5" s="5">
        <v>0.02598135721691258</v>
      </c>
      <c r="I5" s="5">
        <v>0.02565423814460839</v>
      </c>
      <c r="J5" s="5">
        <v>0.025327119072304196</v>
      </c>
      <c r="K5" s="5">
        <v>0.025</v>
      </c>
    </row>
    <row r="6" spans="1:11" x14ac:dyDescent="0.25">
      <c r="A6" t="s">
        <v>50</v>
      </c>
      <c r="B6" s="18">
        <f>Assumptions!B29*(1+B5)</f>
        <v>9382529780</v>
      </c>
      <c r="C6" s="18">
        <f>B6*(1+C5)</f>
        <v>9641646660</v>
      </c>
      <c r="D6" s="18">
        <f>C6*(1+D5)</f>
        <v>9904765592.076328</v>
      </c>
      <c r="E6" s="18">
        <f>D6*(1+E5)</f>
        <v>10171824958.269459</v>
      </c>
      <c r="F6" s="18">
        <f>E6*(1+F5)</f>
        <v>10442757571.946144</v>
      </c>
      <c r="G6" s="18">
        <f>F6*(1+G5)</f>
        <v>10717490611.921728</v>
      </c>
      <c r="H6" s="18">
        <f>G6*(1+H5)</f>
        <v>10995945563.978973</v>
      </c>
      <c r="I6" s="18">
        <f>H6*(1+I5)</f>
        <v>11278038170.10244</v>
      </c>
      <c r="J6" s="18">
        <f>I6*(1+J5)</f>
        <v>11563678385.738615</v>
      </c>
      <c r="K6" s="18">
        <f>J6*(1+K5)</f>
        <v>11852770345.38208</v>
      </c>
    </row>
    <row r="7" spans="1:11" x14ac:dyDescent="0.25">
      <c r="A7" t="s">
        <v>4</v>
      </c>
      <c r="B7" s="9">
        <f>Assumptions!B7</f>
        <v>0.12206785745495219</v>
      </c>
      <c r="C7" s="9">
        <f>Assumptions!B7</f>
        <v>0.12206785745495219</v>
      </c>
      <c r="D7" s="9">
        <f>Assumptions!B7</f>
        <v>0.12206785745495219</v>
      </c>
      <c r="E7" s="9">
        <f>Assumptions!B7</f>
        <v>0.12206785745495219</v>
      </c>
      <c r="F7" s="9">
        <f>Assumptions!B7</f>
        <v>0.12206785745495219</v>
      </c>
      <c r="G7" s="9">
        <f>Assumptions!B7</f>
        <v>0.12206785745495219</v>
      </c>
      <c r="H7" s="9">
        <f>Assumptions!B7</f>
        <v>0.12206785745495219</v>
      </c>
      <c r="I7" s="9">
        <f>Assumptions!B7</f>
        <v>0.12206785745495219</v>
      </c>
      <c r="J7" s="9">
        <f>Assumptions!B7</f>
        <v>0.12206785745495219</v>
      </c>
      <c r="K7" s="9">
        <f>Assumptions!B7</f>
        <v>0.12206785745495219</v>
      </c>
    </row>
    <row r="8" spans="1:11" x14ac:dyDescent="0.25">
      <c r="A8" t="s">
        <v>51</v>
      </c>
      <c r="B8" s="18">
        <f>B6*B7</f>
        <v>1145305307.751884</v>
      </c>
      <c r="C8" s="18">
        <f>C6*C7</f>
        <v>1176935150.123896</v>
      </c>
      <c r="D8" s="18">
        <f>D6*D7</f>
        <v>1209053514.4182885</v>
      </c>
      <c r="E8" s="18">
        <f>E6*E7</f>
        <v>1241652879.0627613</v>
      </c>
      <c r="F8" s="18">
        <f>F6*F7</f>
        <v>1274725042.7289445</v>
      </c>
      <c r="G8" s="18">
        <f>G6*G7</f>
        <v>1308261116.29085</v>
      </c>
      <c r="H8" s="18">
        <f>H6*H7</f>
        <v>1342251515.6861992</v>
      </c>
      <c r="I8" s="18">
        <f>I6*I7</f>
        <v>1376685955.7195745</v>
      </c>
      <c r="J8" s="18">
        <f>J6*J7</f>
        <v>1411553444.845253</v>
      </c>
      <c r="K8" s="18">
        <f>K6*K7</f>
        <v>1446842280.9663842</v>
      </c>
    </row>
    <row r="9" spans="1:11" x14ac:dyDescent="0.25">
      <c r="A9" t="s">
        <v>52</v>
      </c>
      <c r="B9" s="18">
        <f>B8*(1-Assumptions!B8)</f>
        <v>904791193.1239884</v>
      </c>
      <c r="C9" s="18">
        <f>C8*(1-Assumptions!B8)</f>
        <v>929778768.5978777</v>
      </c>
      <c r="D9" s="18">
        <f>D8*(1-Assumptions!B8)</f>
        <v>955152276.390448</v>
      </c>
      <c r="E9" s="18">
        <f>E8*(1-Assumptions!B8)</f>
        <v>980905774.4595815</v>
      </c>
      <c r="F9" s="18">
        <f>F8*(1-Assumptions!B8)</f>
        <v>1007032783.7558663</v>
      </c>
      <c r="G9" s="18">
        <f>G8*(1-Assumptions!B8)</f>
        <v>1033526281.8697715</v>
      </c>
      <c r="H9" s="18">
        <f>H8*(1-Assumptions!B8)</f>
        <v>1060378697.3920974</v>
      </c>
      <c r="I9" s="18">
        <f>I8*(1-Assumptions!B8)</f>
        <v>1087581905.0184639</v>
      </c>
      <c r="J9" s="18">
        <f>J8*(1-Assumptions!B8)</f>
        <v>1115127221.4277499</v>
      </c>
      <c r="K9" s="18">
        <f>K8*(1-Assumptions!B8)</f>
        <v>1143005401.9634435</v>
      </c>
    </row>
    <row r="10" spans="1:11" x14ac:dyDescent="0.25">
      <c r="A10" t="s">
        <v>53</v>
      </c>
      <c r="B10" s="18">
        <f>B6*Assumptions!B9</f>
        <v>329686815.1417066</v>
      </c>
      <c r="C10" s="18">
        <f>C6*Assumptions!B9</f>
        <v>338791760.2812099</v>
      </c>
      <c r="D10" s="18">
        <f>D6*Assumptions!B9</f>
        <v>348037331.0125326</v>
      </c>
      <c r="E10" s="18">
        <f>E6*Assumptions!B9</f>
        <v>357421362.1809342</v>
      </c>
      <c r="F10" s="18">
        <f>F6*Assumptions!B9</f>
        <v>366941492.95754915</v>
      </c>
      <c r="G10" s="18">
        <f>G6*Assumptions!B9</f>
        <v>376595164.52455264</v>
      </c>
      <c r="H10" s="18">
        <f>H6*Assumptions!B9</f>
        <v>386379618.020227</v>
      </c>
      <c r="I10" s="18">
        <f>I6*Assumptions!B9</f>
        <v>396291892.7551407</v>
      </c>
      <c r="J10" s="18">
        <f>J6*Assumptions!B9</f>
        <v>406328824.71033895</v>
      </c>
      <c r="K10" s="18">
        <f>K6*Assumptions!B9</f>
        <v>416487045.3280974</v>
      </c>
    </row>
    <row r="11" spans="1:11" x14ac:dyDescent="0.25">
      <c r="A11" t="s">
        <v>54</v>
      </c>
      <c r="B11" s="18">
        <f>-B6*B19</f>
        <v>-274733805.54125243</v>
      </c>
      <c r="C11" s="18">
        <f>-C6*C19</f>
        <v>-292950961.9614902</v>
      </c>
      <c r="D11" s="18">
        <f>-D6*D19</f>
        <v>-311865477.60571545</v>
      </c>
      <c r="E11" s="18">
        <f>-E6*E19</f>
        <v>-331488581.113135</v>
      </c>
      <c r="F11" s="18">
        <f>-F6*F19</f>
        <v>-351831041.77316016</v>
      </c>
      <c r="G11" s="18">
        <f>-G6*G19</f>
        <v>-372903136.5361529</v>
      </c>
      <c r="H11" s="18">
        <f>-H6*H19</f>
        <v>-394714616.8539015</v>
      </c>
      <c r="I11" s="18">
        <f>-I6*I19</f>
        <v>-417274675.41871375</v>
      </c>
      <c r="J11" s="18">
        <f>-J6*J19</f>
        <v>-440591912.8724885</v>
      </c>
      <c r="K11" s="18">
        <f>-K6*K19</f>
        <v>-464674304.5594784</v>
      </c>
    </row>
    <row r="12" spans="1:11" x14ac:dyDescent="0.25">
      <c r="A12" t="s">
        <v>55</v>
      </c>
      <c r="B12" s="18">
        <f>-(B6-Assumptions!B29)*Assumptions!B11</f>
        <v>-66562108.060357146</v>
      </c>
      <c r="C12" s="18">
        <f>-(C6-B6)*Assumptions!B11</f>
        <v>-32725599.99706771</v>
      </c>
      <c r="D12" s="18">
        <f>-(D6-C6)*Assumptions!B11</f>
        <v>-33231045.861564662</v>
      </c>
      <c r="E12" s="18">
        <f>-(E6-D6)*Assumptions!B11</f>
        <v>-33728709.582744345</v>
      </c>
      <c r="F12" s="18">
        <f>-(F6-E6)*Assumptions!B11</f>
        <v>-34217887.85563982</v>
      </c>
      <c r="G12" s="18">
        <f>-(G6-F6)*Assumptions!B11</f>
        <v>-34697869.05515139</v>
      </c>
      <c r="H12" s="18">
        <f>-(H6-G6)*Assumptions!B11</f>
        <v>-35167934.17020178</v>
      </c>
      <c r="I12" s="18">
        <f>-(I6-H6)*Assumptions!B11</f>
        <v>-35627357.778184645</v>
      </c>
      <c r="J12" s="18">
        <f>-(J6-I6)*Assumptions!B11</f>
        <v>-36075409.05859021</v>
      </c>
      <c r="K12" s="18">
        <f>-(K6-J6)*Assumptions!B11</f>
        <v>-36511352.84455601</v>
      </c>
    </row>
    <row r="13" spans="1:11" x14ac:dyDescent="0.25">
      <c r="A13" s="19" t="s">
        <v>56</v>
      </c>
      <c r="B13" s="20">
        <f>B9+B10+B11+B12</f>
        <v>893182094.6640856</v>
      </c>
      <c r="C13" s="20">
        <f>C9+C10+C11+C12</f>
        <v>942893966.9205298</v>
      </c>
      <c r="D13" s="20">
        <f>D9+D10+D11+D12</f>
        <v>958093083.9357004</v>
      </c>
      <c r="E13" s="20">
        <f>E9+E10+E11+E12</f>
        <v>973109845.9446365</v>
      </c>
      <c r="F13" s="20">
        <f>F9+F10+F11+F12</f>
        <v>987925347.0846153</v>
      </c>
      <c r="G13" s="20">
        <f>G9+G10+G11+G12</f>
        <v>1002520440.8030199</v>
      </c>
      <c r="H13" s="20">
        <f>H9+H10+H11+H12</f>
        <v>1016875764.3882211</v>
      </c>
      <c r="I13" s="20">
        <f>I9+I10+I11+I12</f>
        <v>1030971764.5767062</v>
      </c>
      <c r="J13" s="20">
        <f>J9+J10+J11+J12</f>
        <v>1044788724.20701</v>
      </c>
      <c r="K13" s="20">
        <f>K9+K10+K11+K12</f>
        <v>1058306789.8875064</v>
      </c>
    </row>
    <row r="14" spans="1:11" x14ac:dyDescent="0.25">
      <c r="A14" t="s">
        <v>57</v>
      </c>
      <c r="B14" s="21">
        <f>1/(1+Assumptions!$B$26)^(1-0.5*Assumptions!$B$32)</f>
        <v>0.9639621024270055</v>
      </c>
      <c r="C14" s="21">
        <f>1/(1+Assumptions!$B$26)^(2-0.5*Assumptions!$B$32)</f>
        <v>0.8957356939645307</v>
      </c>
      <c r="D14" s="21">
        <f>1/(1+Assumptions!$B$26)^(3-0.5*Assumptions!$B$32)</f>
        <v>0.8323381504542867</v>
      </c>
      <c r="E14" s="21">
        <f>1/(1+Assumptions!$B$26)^(4-0.5*Assumptions!$B$32)</f>
        <v>0.7734276990072653</v>
      </c>
      <c r="F14" s="21">
        <f>1/(1+Assumptions!$B$26)^(5-0.5*Assumptions!$B$32)</f>
        <v>0.7186867564164672</v>
      </c>
      <c r="G14" s="21">
        <f>1/(1+Assumptions!$B$26)^(6-0.5*Assumptions!$B$32)</f>
        <v>0.6678202170822053</v>
      </c>
      <c r="H14" s="21">
        <f>1/(1+Assumptions!$B$26)^(7-0.5*Assumptions!$B$32)</f>
        <v>0.6205538621130282</v>
      </c>
      <c r="I14" s="21">
        <f>1/(1+Assumptions!$B$26)^(8-0.5*Assumptions!$B$32)</f>
        <v>0.576632881025812</v>
      </c>
      <c r="J14" s="21">
        <f>1/(1+Assumptions!$B$26)^(9-0.5*Assumptions!$B$32)</f>
        <v>0.5358204980755811</v>
      </c>
      <c r="K14" s="21">
        <f>1/(1+Assumptions!$B$26)^(10-0.5*Assumptions!$B$32)</f>
        <v>0.49789669580967255</v>
      </c>
    </row>
    <row r="15" spans="1:11" x14ac:dyDescent="0.25">
      <c r="A15" s="19" t="s">
        <v>58</v>
      </c>
      <c r="B15" s="20">
        <f>B13*B14</f>
        <v>860993689.8225486</v>
      </c>
      <c r="C15" s="20">
        <f>C13*C14</f>
        <v>844583781.79453</v>
      </c>
      <c r="D15" s="20">
        <f>D13*D14</f>
        <v>797457425.4460846</v>
      </c>
      <c r="E15" s="20">
        <f>E13*E14</f>
        <v>752630109.0302745</v>
      </c>
      <c r="F15" s="20">
        <f>F13*F14</f>
        <v>710008863.2778548</v>
      </c>
      <c r="G15" s="20">
        <f>G13*G14</f>
        <v>669503418.4064208</v>
      </c>
      <c r="H15" s="20">
        <f>H13*H14</f>
        <v>631026182.8802483</v>
      </c>
      <c r="I15" s="20">
        <f>I13*I14</f>
        <v>594492218.8641313</v>
      </c>
      <c r="J15" s="20">
        <f>J13*J14</f>
        <v>559819214.588351</v>
      </c>
      <c r="K15" s="20">
        <f>K13*K14</f>
        <v>526927453.8379308</v>
      </c>
    </row>
    <row r="17" spans="1:2" x14ac:dyDescent="0.25">
      <c r="A17" s="22" t="s">
        <v>59</v>
      </c>
      <c r="B17" s="23">
        <f>SUM(B15:K15)</f>
        <v>6947442357.948375</v>
      </c>
    </row>
    <row r="19" spans="1:11" x14ac:dyDescent="0.25">
      <c r="A19" t="s">
        <v>7</v>
      </c>
      <c r="B19" s="9">
        <f>Assumptions!$B$10+($B$20-Assumptions!$B$10)*0/9</f>
        <v>0.02928142110743745</v>
      </c>
      <c r="C19" s="9">
        <f>Assumptions!$B$10+($B$20-Assumptions!$B$10)*1/9</f>
        <v>0.030383913898944955</v>
      </c>
      <c r="D19" s="9">
        <f>Assumptions!$B$10+($B$20-Assumptions!$B$10)*2/9</f>
        <v>0.03148640669045246</v>
      </c>
      <c r="E19" s="9">
        <f>Assumptions!$B$10+($B$20-Assumptions!$B$10)*3/9</f>
        <v>0.03258889948195996</v>
      </c>
      <c r="F19" s="9">
        <f>Assumptions!$B$10+($B$20-Assumptions!$B$10)*4/9</f>
        <v>0.033691392273467465</v>
      </c>
      <c r="G19" s="9">
        <f>Assumptions!$B$10+($B$20-Assumptions!$B$10)*5/9</f>
        <v>0.03479388506497497</v>
      </c>
      <c r="H19" s="9">
        <f>Assumptions!$B$10+($B$20-Assumptions!$B$10)*6/9</f>
        <v>0.035896377856482475</v>
      </c>
      <c r="I19" s="9">
        <f>Assumptions!$B$10+($B$20-Assumptions!$B$10)*7/9</f>
        <v>0.03699887064798998</v>
      </c>
      <c r="J19" s="9">
        <f>Assumptions!$B$10+($B$20-Assumptions!$B$10)*8/9</f>
        <v>0.03810136343949748</v>
      </c>
      <c r="K19" s="9">
        <f>Assumptions!$B$10+($B$20-Assumptions!$B$10)*9/9</f>
        <v>0.03920385623100499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0.03920385623100499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1058306789.8875064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1266383068.7343738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0.16137417343314212</v>
      </c>
    </row>
    <row r="7" spans="1:2" x14ac:dyDescent="0.25">
      <c r="A7" t="s">
        <v>66</v>
      </c>
      <c r="B7" s="18">
        <f>-MAX(B5,0)*B6</f>
        <v>-204361520.96673557</v>
      </c>
    </row>
    <row r="8" spans="1:2" x14ac:dyDescent="0.25">
      <c r="A8" t="s">
        <v>67</v>
      </c>
      <c r="B8" s="18">
        <f>IF(OR(Assumptions!$B$33=0,Assumptions!B12&lt;=0),B5,MAX(B5+B7,0))</f>
        <v>1062021547.7676382</v>
      </c>
    </row>
    <row r="9" spans="1:2" x14ac:dyDescent="0.25">
      <c r="A9" t="s">
        <v>68</v>
      </c>
      <c r="B9" s="18">
        <f>B8*(1+Assumptions!B12)/(Assumptions!B26-Assumptions!B12)</f>
        <v>21274464479.61444</v>
      </c>
    </row>
    <row r="10" spans="1:2" x14ac:dyDescent="0.25">
      <c r="A10" t="s">
        <v>69</v>
      </c>
      <c r="B10" s="18">
        <f>B9/(1+Assumptions!B26)^(10-0.5*Assumptions!B32)</f>
        <v>10592485569.520275</v>
      </c>
    </row>
    <row r="11" spans="1:2" x14ac:dyDescent="0.25">
      <c r="A11" t="s">
        <v>70</v>
      </c>
      <c r="B11" s="18">
        <f>Forecast!B17+B10</f>
        <v>17539927927.46865</v>
      </c>
    </row>
    <row r="12" spans="1:2" x14ac:dyDescent="0.25">
      <c r="A12" t="s">
        <v>71</v>
      </c>
      <c r="B12" s="18">
        <f>-Assumptions!B30</f>
        <v>-3530100000</v>
      </c>
    </row>
    <row r="13" spans="1:2" x14ac:dyDescent="0.25">
      <c r="A13" t="s">
        <v>72</v>
      </c>
      <c r="B13" s="18">
        <f>B11+B12</f>
        <v>14009827927.46865</v>
      </c>
    </row>
    <row r="14" spans="1:2" x14ac:dyDescent="0.25">
      <c r="A14" s="19" t="s">
        <v>73</v>
      </c>
      <c r="B14" s="24">
        <f>B13/Assumptions!B31</f>
        <v>178.92500545936974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1863329326.2944815</v>
      </c>
    </row>
    <row r="18" spans="1:2" x14ac:dyDescent="0.25">
      <c r="A18" t="s">
        <v>68</v>
      </c>
      <c r="B18" s="18">
        <f>B17*Assumptions!B13</f>
        <v>22739430687.721134</v>
      </c>
    </row>
    <row r="19" spans="1:2" x14ac:dyDescent="0.25">
      <c r="A19" t="s">
        <v>69</v>
      </c>
      <c r="B19" s="18">
        <f>B18/(1+Assumptions!B26)^(10-0.5*Assumptions!B32)</f>
        <v>11321887404.009422</v>
      </c>
    </row>
    <row r="20" spans="1:2" x14ac:dyDescent="0.25">
      <c r="A20" t="s">
        <v>70</v>
      </c>
      <c r="B20" s="18">
        <f>Forecast!B17+B19</f>
        <v>18269329761.957798</v>
      </c>
    </row>
    <row r="21" spans="1:2" x14ac:dyDescent="0.25">
      <c r="A21" t="s">
        <v>71</v>
      </c>
      <c r="B21" s="18">
        <f>-Assumptions!B30</f>
        <v>-3530100000</v>
      </c>
    </row>
    <row r="22" spans="1:2" x14ac:dyDescent="0.25">
      <c r="A22" t="s">
        <v>72</v>
      </c>
      <c r="B22" s="18">
        <f>B20+B21</f>
        <v>14739229761.957798</v>
      </c>
    </row>
    <row r="23" spans="1:2" x14ac:dyDescent="0.25">
      <c r="A23" s="19" t="s">
        <v>73</v>
      </c>
      <c r="B23" s="25">
        <f>B22/Assumptions!B31</f>
        <v>188.24048227276882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187.01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178.92500545936974</v>
      </c>
    </row>
    <row r="29" spans="1:2" x14ac:dyDescent="0.25">
      <c r="A29" s="19" t="s">
        <v>81</v>
      </c>
      <c r="B29" s="11">
        <f>B28/B26-1</f>
        <v>-0.04323295300053609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0.056168</v>
      </c>
      <c r="B5" s="31">
        <v>269.3303096064687</v>
      </c>
      <c r="C5" s="31">
        <v>289.71460541075305</v>
      </c>
      <c r="D5" s="31">
        <v>317.07941115306886</v>
      </c>
      <c r="E5" s="31">
        <v>355.4260891488576</v>
      </c>
      <c r="F5" s="31">
        <v>412.5365783532448</v>
      </c>
    </row>
    <row r="6" spans="1:6" x14ac:dyDescent="0.25">
      <c r="A6" s="30">
        <v>0.066168</v>
      </c>
      <c r="B6" s="31">
        <v>208.3299052574904</v>
      </c>
      <c r="C6" s="31">
        <v>218.4091039546601</v>
      </c>
      <c r="D6" s="31">
        <v>231.25158733828636</v>
      </c>
      <c r="E6" s="31">
        <v>248.0033759319495</v>
      </c>
      <c r="F6" s="31">
        <v>270.5458730387343</v>
      </c>
    </row>
    <row r="7" spans="1:6" x14ac:dyDescent="0.25">
      <c r="A7" s="30">
        <v>0.076168</v>
      </c>
      <c r="B7" s="31">
        <v>167.302133799652</v>
      </c>
      <c r="C7" s="31">
        <v>172.48712324209882</v>
      </c>
      <c r="D7" s="32">
        <v>178.9250624754086</v>
      </c>
      <c r="E7" s="31">
        <v>187.0230353425667</v>
      </c>
      <c r="F7" s="31">
        <v>197.3858928081018</v>
      </c>
    </row>
    <row r="8" spans="1:6" x14ac:dyDescent="0.25">
      <c r="A8" s="30">
        <v>0.086168</v>
      </c>
      <c r="B8" s="31">
        <v>137.8257272864553</v>
      </c>
      <c r="C8" s="31">
        <v>140.44014378212628</v>
      </c>
      <c r="D8" s="31">
        <v>143.6716775633557</v>
      </c>
      <c r="E8" s="31">
        <v>147.6851334884861</v>
      </c>
      <c r="F8" s="31">
        <v>152.7097335743738</v>
      </c>
    </row>
    <row r="9" spans="1:6" x14ac:dyDescent="0.25">
      <c r="A9" s="30">
        <v>0.096168</v>
      </c>
      <c r="B9" s="31">
        <v>115.62962569741762</v>
      </c>
      <c r="C9" s="31">
        <v>116.80339786016634</v>
      </c>
      <c r="D9" s="31">
        <v>118.29653578560078</v>
      </c>
      <c r="E9" s="31">
        <v>120.18143831364799</v>
      </c>
      <c r="F9" s="31">
        <v>122.55417641342883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8855500000</v>
      </c>
      <c r="C5" s="18">
        <v>8755700000</v>
      </c>
      <c r="D5" s="18">
        <v>8364300000</v>
      </c>
      <c r="E5" s="18">
        <v>9039300000</v>
      </c>
      <c r="F5" s="6" t="s">
        <v>91</v>
      </c>
    </row>
    <row r="6" spans="1:6" x14ac:dyDescent="0.25">
      <c r="A6" t="s">
        <v>51</v>
      </c>
      <c r="B6" s="18">
        <v>1123800000</v>
      </c>
      <c r="C6" s="18">
        <v>1115400000</v>
      </c>
      <c r="D6" s="18">
        <v>963800000</v>
      </c>
      <c r="E6" s="18">
        <v>1073400000</v>
      </c>
      <c r="F6" s="6" t="s">
        <v>92</v>
      </c>
    </row>
    <row r="7" spans="1:6" x14ac:dyDescent="0.25">
      <c r="A7" t="s">
        <v>93</v>
      </c>
      <c r="B7" s="18">
        <v>328200000</v>
      </c>
      <c r="C7" s="18">
        <v>312200000</v>
      </c>
      <c r="D7" s="18">
        <v>298400000</v>
      </c>
      <c r="E7" s="18">
        <v>290700000</v>
      </c>
      <c r="F7" s="6" t="s">
        <v>94</v>
      </c>
    </row>
    <row r="8" spans="1:6" x14ac:dyDescent="0.25">
      <c r="A8" t="s">
        <v>95</v>
      </c>
      <c r="B8" s="18">
        <v>200400000</v>
      </c>
      <c r="C8" s="18">
        <v>239800000</v>
      </c>
      <c r="D8" s="18">
        <v>285100000</v>
      </c>
      <c r="E8" s="18">
        <v>298500000</v>
      </c>
      <c r="F8" s="6" t="s">
        <v>96</v>
      </c>
    </row>
    <row r="9" spans="1:6" x14ac:dyDescent="0.25">
      <c r="A9" t="s">
        <v>97</v>
      </c>
      <c r="B9" s="18">
        <v>242800000</v>
      </c>
      <c r="C9" s="18">
        <v>203100000</v>
      </c>
      <c r="D9" s="18">
        <v>60300000</v>
      </c>
      <c r="E9" s="18">
        <v>226200000</v>
      </c>
      <c r="F9" s="6" t="s">
        <v>98</v>
      </c>
    </row>
    <row r="10" spans="1:6" x14ac:dyDescent="0.25">
      <c r="A10" t="s">
        <v>99</v>
      </c>
      <c r="B10" s="18">
        <v>3732900000</v>
      </c>
      <c r="C10" s="18">
        <v>3152200000</v>
      </c>
      <c r="D10" s="18">
        <v>3244300000</v>
      </c>
      <c r="E10" s="18">
        <v>3102100000</v>
      </c>
      <c r="F10" s="6" t="s">
        <v>100</v>
      </c>
    </row>
    <row r="11" spans="1:6" x14ac:dyDescent="0.25">
      <c r="A11" t="s">
        <v>101</v>
      </c>
      <c r="B11" s="18">
        <v>202800000</v>
      </c>
      <c r="C11" s="18">
        <v>329100000</v>
      </c>
      <c r="D11" s="18">
        <v>215000000</v>
      </c>
      <c r="E11" s="18">
        <v>167200000</v>
      </c>
      <c r="F11" s="6" t="s">
        <v>102</v>
      </c>
    </row>
    <row r="12" spans="1:6" x14ac:dyDescent="0.25">
      <c r="A12" t="s">
        <v>34</v>
      </c>
      <c r="B12" s="34">
        <v>78300000</v>
      </c>
      <c r="C12" s="34">
        <v>80700000</v>
      </c>
      <c r="D12" s="34">
        <v>81100000</v>
      </c>
      <c r="E12" s="34">
        <v>82200000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