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<sst xmlns="http://schemas.openxmlformats.org/spreadsheetml/2006/main" count="111" uniqueCount="99">
  <si>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Avery Dennison Corporation (AVY)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</si>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</sst>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-0.006824275768766208</v>
      </c>
    </row>
    <row r="7" spans="1:2" x14ac:dyDescent="0.25">
      <c r="A7" t="s">
        <v>5</v>
      </c>
      <c r="B7" s="6">
        <v>0.12206785745495219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0.035138371299867764</v>
      </c>
    </row>
    <row r="10" spans="1:2" x14ac:dyDescent="0.25">
      <c r="A10" t="s">
        <v>8</v>
      </c>
      <c r="B10" s="6">
        <v>0.02928142110743745</v>
      </c>
    </row>
    <row r="11" spans="1:2" x14ac:dyDescent="0.25">
      <c r="A11" t="s">
        <v>9</v>
      </c>
      <c r="B11" s="6">
        <v>0.5189064895247828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11.184937807162534</v>
      </c>
    </row>
    <row r="14" spans="1:3" x14ac:dyDescent="0.25">
      <c r="A14" t="s">
        <v>12</v>
      </c>
      <c r="B14" s="6">
        <v>0.15491946120088163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0.8753799999999999</v>
      </c>
      <c r="C19" s="8" t="s">
        <v>19</v>
      </c>
    </row>
    <row r="20" spans="1:2" x14ac:dyDescent="0.25">
      <c r="A20" t="s">
        <v>20</v>
      </c>
      <c r="B20" s="10">
        <f>B17+B19*B18</f>
        <v>0.0981259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12710429696</v>
      </c>
    </row>
    <row r="23" spans="1:2" x14ac:dyDescent="0.25">
      <c r="A23" t="s">
        <v>24</v>
      </c>
      <c r="B23" s="11">
        <v>3732900000</v>
      </c>
    </row>
    <row r="24" spans="1:2" x14ac:dyDescent="0.25">
      <c r="A24" t="s">
        <v>25</v>
      </c>
      <c r="B24" s="10">
        <f>B22/(B22+B23)</f>
        <v>0.7729839351875268</v>
      </c>
    </row>
    <row r="25" spans="1:2" x14ac:dyDescent="0.25">
      <c r="A25" t="s">
        <v>26</v>
      </c>
      <c r="B25" s="10">
        <f>1-B24</f>
        <v>0.22701606481247316</v>
      </c>
    </row>
    <row r="26" spans="1:2" x14ac:dyDescent="0.25">
      <c r="A26" t="s">
        <v>27</v>
      </c>
      <c r="B26" s="12">
        <f>B24*B20+B25*B21*(1-B8)</f>
        <v>0.0848132920320864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8855500000</v>
      </c>
      <c r="C29" s="8" t="s">
        <v>30</v>
      </c>
    </row>
    <row r="30" spans="1:2" x14ac:dyDescent="0.25">
      <c r="A30" t="s">
        <v>31</v>
      </c>
      <c r="B30" s="11">
        <v>3530100000</v>
      </c>
    </row>
    <row r="31" spans="1:2" x14ac:dyDescent="0.25">
      <c r="A31" t="s">
        <v>32</v>
      </c>
      <c r="B31" s="13">
        <v>78300000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-0.006824275768766208</v>
      </c>
      <c r="C5" s="10">
        <f>Assumptions!B6</f>
        <v>-0.006824275768766208</v>
      </c>
      <c r="D5" s="10">
        <f>Assumptions!B6</f>
        <v>-0.006824275768766208</v>
      </c>
      <c r="E5" s="10">
        <f>Assumptions!B6</f>
        <v>-0.006824275768766208</v>
      </c>
      <c r="F5" s="10">
        <f>Assumptions!B6</f>
        <v>-0.006824275768766208</v>
      </c>
    </row>
    <row r="6" spans="1:6" x14ac:dyDescent="0.25">
      <c r="A6" t="s">
        <v>43</v>
      </c>
      <c r="B6" s="18">
        <f>Assumptions!B29*(1+B5)</f>
        <v>8795067625.929691</v>
      </c>
      <c r="C6" s="18">
        <f>B6*(1+C5)</f>
        <v>8735047659.045399</v>
      </c>
      <c r="D6" s="18">
        <f>C6*(1+D5)</f>
        <v>8675437284.966757</v>
      </c>
      <c r="E6" s="18">
        <f>D6*(1+E5)</f>
        <v>8616233708.519506</v>
      </c>
      <c r="F6" s="18">
        <f>E6*(1+F5)</f>
        <v>8557434153.60443</v>
      </c>
    </row>
    <row r="7" spans="1:6" x14ac:dyDescent="0.25">
      <c r="A7" t="s">
        <v>5</v>
      </c>
      <c r="B7" s="10">
        <f>Assumptions!B7</f>
        <v>0.12206785745495219</v>
      </c>
      <c r="C7" s="10">
        <f>Assumptions!B7</f>
        <v>0.12206785745495219</v>
      </c>
      <c r="D7" s="10">
        <f>Assumptions!B7</f>
        <v>0.12206785745495219</v>
      </c>
      <c r="E7" s="10">
        <f>Assumptions!B7</f>
        <v>0.12206785745495219</v>
      </c>
      <c r="F7" s="10">
        <f>Assumptions!B7</f>
        <v>0.12206785745495219</v>
      </c>
    </row>
    <row r="8" spans="1:6" x14ac:dyDescent="0.25">
      <c r="A8" t="s">
        <v>44</v>
      </c>
      <c r="B8" s="18">
        <f>B6*B7</f>
        <v>1073595061.2686503</v>
      </c>
      <c r="C8" s="18">
        <f>C6*C7</f>
        <v>1066268552.5065676</v>
      </c>
      <c r="D8" s="18">
        <f>D6*D7</f>
        <v>1058992041.8606995</v>
      </c>
      <c r="E8" s="18">
        <f>E6*E7</f>
        <v>1051765188.1301131</v>
      </c>
      <c r="F8" s="18">
        <f>F6*F7</f>
        <v>1044587652.442325</v>
      </c>
    </row>
    <row r="9" spans="1:6" x14ac:dyDescent="0.25">
      <c r="A9" t="s">
        <v>45</v>
      </c>
      <c r="B9" s="18">
        <f>B8*(1-Assumptions!B8)</f>
        <v>848140098.4022337</v>
      </c>
      <c r="C9" s="18">
        <f>C8*(1-Assumptions!B8)</f>
        <v>842352156.4801885</v>
      </c>
      <c r="D9" s="18">
        <f>D8*(1-Assumptions!B8)</f>
        <v>836603713.0699527</v>
      </c>
      <c r="E9" s="18">
        <f>E8*(1-Assumptions!B8)</f>
        <v>830894498.6227894</v>
      </c>
      <c r="F9" s="18">
        <f>F8*(1-Assumptions!B8)</f>
        <v>825224245.4294368</v>
      </c>
    </row>
    <row r="10" spans="1:6" x14ac:dyDescent="0.25">
      <c r="A10" t="s">
        <v>46</v>
      </c>
      <c r="B10" s="18">
        <f>B6*Assumptions!B9</f>
        <v>309044351.84736395</v>
      </c>
      <c r="C10" s="18">
        <f>C6*Assumptions!B9</f>
        <v>306935347.96557796</v>
      </c>
      <c r="D10" s="18">
        <f>D6*Assumptions!B9</f>
        <v>304840736.5078786</v>
      </c>
      <c r="E10" s="18">
        <f>E6*Assumptions!B9</f>
        <v>302760419.25639504</v>
      </c>
      <c r="F10" s="18">
        <f>F6*Assumptions!B9</f>
        <v>300694298.6635221</v>
      </c>
    </row>
    <row r="11" spans="1:6" x14ac:dyDescent="0.25">
      <c r="A11" t="s">
        <v>47</v>
      </c>
      <c r="B11" s="18">
        <f>-B6*Assumptions!B10</f>
        <v>-257532078.82323745</v>
      </c>
      <c r="C11" s="18">
        <f>-C6*Assumptions!B10</f>
        <v>-255774608.89804402</v>
      </c>
      <c r="D11" s="18">
        <f>-D6*Assumptions!B10</f>
        <v>-254029132.43227544</v>
      </c>
      <c r="E11" s="18">
        <f>-E6*Assumptions!B10</f>
        <v>-252295567.57925713</v>
      </c>
      <c r="F11" s="18">
        <f>-F6*Assumptions!B10</f>
        <v>-250573833.05085889</v>
      </c>
    </row>
    <row r="12" spans="1:6" x14ac:dyDescent="0.25">
      <c r="A12" t="s">
        <v>48</v>
      </c>
      <c r="B12" s="18">
        <f>-(B6-Assumptions!B29)*Assumptions!B11</f>
        <v>31358751.082472388</v>
      </c>
      <c r="C12" s="18">
        <f>-(C6-B6)*Assumptions!B11</f>
        <v>31144750.31732199</v>
      </c>
      <c r="D12" s="18">
        <f>-(D6-C6)*Assumptions!B11</f>
        <v>30932209.952407174</v>
      </c>
      <c r="E12" s="18">
        <f>-(E6-D6)*Assumptions!B11</f>
        <v>30721120.0215548</v>
      </c>
      <c r="F12" s="18">
        <f>-(F6-E6)*Assumptions!B11</f>
        <v>30511470.62660191</v>
      </c>
    </row>
    <row r="13" spans="1:6" x14ac:dyDescent="0.25">
      <c r="A13" s="19" t="s">
        <v>49</v>
      </c>
      <c r="B13" s="20">
        <f>B9+B10+B11+B12</f>
        <v>931011122.5088326</v>
      </c>
      <c r="C13" s="20">
        <f>C9+C10+C11+C12</f>
        <v>924657645.8650445</v>
      </c>
      <c r="D13" s="20">
        <f>D9+D10+D11+D12</f>
        <v>918347527.097963</v>
      </c>
      <c r="E13" s="20">
        <f>E9+E10+E11+E12</f>
        <v>912080470.3214822</v>
      </c>
      <c r="F13" s="20">
        <f>F9+F10+F11+F12</f>
        <v>905856181.668702</v>
      </c>
    </row>
    <row r="14" spans="1:6" x14ac:dyDescent="0.25">
      <c r="A14" t="s">
        <v>50</v>
      </c>
      <c r="B14" s="21">
        <f>1/(1+Assumptions!$B$26)^(1-0.5*Assumptions!$B$32)</f>
        <v>0.9601133336967644</v>
      </c>
      <c r="C14" s="21">
        <f>1/(1+Assumptions!$B$26)^(2-0.5*Assumptions!$B$32)</f>
        <v>0.8850493819985077</v>
      </c>
      <c r="D14" s="21">
        <f>1/(1+Assumptions!$B$26)^(3-0.5*Assumptions!$B$32)</f>
        <v>0.8158541091809648</v>
      </c>
      <c r="E14" s="21">
        <f>1/(1+Assumptions!$B$26)^(4-0.5*Assumptions!$B$32)</f>
        <v>0.752068687923888</v>
      </c>
      <c r="F14" s="21">
        <f>1/(1+Assumptions!$B$26)^(5-0.5*Assumptions!$B$32)</f>
        <v>0.6932701631218985</v>
      </c>
    </row>
    <row r="15" spans="1:6" x14ac:dyDescent="0.25">
      <c r="A15" s="19" t="s">
        <v>51</v>
      </c>
      <c r="B15" s="20">
        <f>B13*B14</f>
        <v>893876192.540722</v>
      </c>
      <c r="C15" s="20">
        <f>C13*C14</f>
        <v>818367678.0330526</v>
      </c>
      <c r="D15" s="20">
        <f>D13*D14</f>
        <v>749237603.6390505</v>
      </c>
      <c r="E15" s="20">
        <f>E13*E14</f>
        <v>685947162.5956798</v>
      </c>
      <c r="F15" s="20">
        <f>F13*F14</f>
        <v>628003062.8304411</v>
      </c>
    </row>
    <row r="17" spans="1:2" x14ac:dyDescent="0.25">
      <c r="A17" s="22" t="s">
        <v>52</v>
      </c>
      <c r="B17" s="23">
        <f>SUM(B15:F15)</f>
        <v>3775431699.6389456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905856181.668702</v>
      </c>
    </row>
    <row r="5" spans="1:2" x14ac:dyDescent="0.25">
      <c r="A5" t="s">
        <v>56</v>
      </c>
      <c r="B5" s="18">
        <f>IF(Assumptions!$B$33=0,B4,B4-Forecast!F11-Forecast!F10-Forecast!F12)</f>
        <v>914300151.6228719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0.16137417343314212</v>
      </c>
    </row>
    <row r="7" spans="1:2" x14ac:dyDescent="0.25">
      <c r="A7" t="s">
        <v>58</v>
      </c>
      <c r="B7" s="18">
        <f>-MAX(Forecast!F9,0)*B6</f>
        <v>-147544431.23793745</v>
      </c>
    </row>
    <row r="8" spans="1:2" x14ac:dyDescent="0.25">
      <c r="A8" t="s">
        <v>59</v>
      </c>
      <c r="B8" s="18">
        <f>IF(OR(Assumptions!$B$33=0,Assumptions!B12&lt;=0),B5,MAX(B5+B7,0))</f>
        <v>766755720.3849344</v>
      </c>
    </row>
    <row r="9" spans="1:2" x14ac:dyDescent="0.25">
      <c r="A9" t="s">
        <v>60</v>
      </c>
      <c r="B9" s="18">
        <f>B8*(1+Assumptions!B12)/(Assumptions!B26-Assumptions!B12)</f>
        <v>13139631454.710005</v>
      </c>
    </row>
    <row r="10" spans="1:2" x14ac:dyDescent="0.25">
      <c r="A10" t="s">
        <v>61</v>
      </c>
      <c r="B10" s="18">
        <f>B9/(1+Assumptions!B26)^(5-0.5*Assumptions!B32)</f>
        <v>9109314441.968433</v>
      </c>
    </row>
    <row r="11" spans="1:2" x14ac:dyDescent="0.25">
      <c r="A11" t="s">
        <v>62</v>
      </c>
      <c r="B11" s="18">
        <f>Forecast!B17+B10</f>
        <v>12884746141.60738</v>
      </c>
    </row>
    <row r="12" spans="1:2" x14ac:dyDescent="0.25">
      <c r="A12" t="s">
        <v>63</v>
      </c>
      <c r="B12" s="18">
        <f>-Assumptions!B30</f>
        <v>-3530100000</v>
      </c>
    </row>
    <row r="13" spans="1:2" x14ac:dyDescent="0.25">
      <c r="A13" t="s">
        <v>64</v>
      </c>
      <c r="B13" s="18">
        <f>B11+B12</f>
        <v>9354646141.60738</v>
      </c>
    </row>
    <row r="14" spans="1:2" x14ac:dyDescent="0.25">
      <c r="A14" s="19" t="s">
        <v>65</v>
      </c>
      <c r="B14" s="24">
        <f>B13/Assumptions!B31</f>
        <v>119.47185366037522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1345281951.1058471</v>
      </c>
    </row>
    <row r="18" spans="1:2" x14ac:dyDescent="0.25">
      <c r="A18" t="s">
        <v>60</v>
      </c>
      <c r="B18" s="18">
        <f>B17*Assumptions!B13</f>
        <v>15046894956.217169</v>
      </c>
    </row>
    <row r="19" spans="1:2" x14ac:dyDescent="0.25">
      <c r="A19" t="s">
        <v>61</v>
      </c>
      <c r="B19" s="18">
        <f>B18/(1+Assumptions!B26)^(5-0.5*Assumptions!B32)</f>
        <v>10431563320.774748</v>
      </c>
    </row>
    <row r="20" spans="1:2" x14ac:dyDescent="0.25">
      <c r="A20" t="s">
        <v>62</v>
      </c>
      <c r="B20" s="18">
        <f>Forecast!B17+B19</f>
        <v>14206995020.413692</v>
      </c>
    </row>
    <row r="21" spans="1:2" x14ac:dyDescent="0.25">
      <c r="A21" t="s">
        <v>63</v>
      </c>
      <c r="B21" s="18">
        <f>-Assumptions!B30</f>
        <v>-3530100000</v>
      </c>
    </row>
    <row r="22" spans="1:2" x14ac:dyDescent="0.25">
      <c r="A22" t="s">
        <v>64</v>
      </c>
      <c r="B22" s="18">
        <f>B20+B21</f>
        <v>10676895020.413692</v>
      </c>
    </row>
    <row r="23" spans="1:2" x14ac:dyDescent="0.25">
      <c r="A23" s="19" t="s">
        <v>65</v>
      </c>
      <c r="B23" s="25">
        <f>B22/Assumptions!B31</f>
        <v>136.35881252124767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167.71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119.47185366037522</v>
      </c>
    </row>
    <row r="29" spans="1:2" x14ac:dyDescent="0.25">
      <c r="A29" s="19" t="s">
        <v>73</v>
      </c>
      <c r="B29" s="12">
        <f>B28/B26-1</f>
        <v>-0.28762832472497046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0.064813</v>
      </c>
      <c r="B5" s="31">
        <v>167.2731712130599</v>
      </c>
      <c r="C5" s="31">
        <v>179.7680490263706</v>
      </c>
      <c r="D5" s="31">
        <v>195.3299613521271</v>
      </c>
      <c r="E5" s="31">
        <v>215.28041215972863</v>
      </c>
      <c r="F5" s="31">
        <v>241.82743409358096</v>
      </c>
    </row>
    <row r="6" spans="1:6" x14ac:dyDescent="0.25">
      <c r="A6" s="30">
        <v>0.074813</v>
      </c>
      <c r="B6" s="31">
        <v>133.53800591437795</v>
      </c>
      <c r="C6" s="31">
        <v>140.96382582394662</v>
      </c>
      <c r="D6" s="31">
        <v>149.8257023415217</v>
      </c>
      <c r="E6" s="31">
        <v>160.60431850818722</v>
      </c>
      <c r="F6" s="31">
        <v>174.02182775966406</v>
      </c>
    </row>
    <row r="7" spans="1:6" x14ac:dyDescent="0.25">
      <c r="A7" s="30">
        <v>0.084813</v>
      </c>
      <c r="B7" s="31">
        <v>109.43293645923468</v>
      </c>
      <c r="C7" s="31">
        <v>114.08566577707116</v>
      </c>
      <c r="D7" s="32">
        <v>119.47259277478545</v>
      </c>
      <c r="E7" s="31">
        <v>125.79463630736035</v>
      </c>
      <c r="F7" s="31">
        <v>133.33338447474782</v>
      </c>
    </row>
    <row r="8" spans="1:6" x14ac:dyDescent="0.25">
      <c r="A8" s="30">
        <v>0.094813</v>
      </c>
      <c r="B8" s="31">
        <v>91.33972409924742</v>
      </c>
      <c r="C8" s="31">
        <v>94.35336968794256</v>
      </c>
      <c r="D8" s="31">
        <v>97.76277846788167</v>
      </c>
      <c r="E8" s="31">
        <v>101.65954391365565</v>
      </c>
      <c r="F8" s="31">
        <v>106.16588611099036</v>
      </c>
    </row>
    <row r="9" spans="1:6" x14ac:dyDescent="0.25">
      <c r="A9" s="30">
        <v>0.104813</v>
      </c>
      <c r="B9" s="31">
        <v>77.25150009731672</v>
      </c>
      <c r="C9" s="31">
        <v>79.24108332121466</v>
      </c>
      <c r="D9" s="31">
        <v>81.4497950161572</v>
      </c>
      <c r="E9" s="31">
        <v>83.92157042155021</v>
      </c>
      <c r="F9" s="31">
        <v>86.71293132641226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8855500000</v>
      </c>
      <c r="C5" s="18">
        <v>8755700000</v>
      </c>
      <c r="D5" s="18">
        <v>8364300000</v>
      </c>
      <c r="E5" s="18">
        <v>9039300000</v>
      </c>
      <c r="F5" s="8" t="s">
        <v>84</v>
      </c>
    </row>
    <row r="6" spans="1:6" x14ac:dyDescent="0.25">
      <c r="A6" t="s">
        <v>44</v>
      </c>
      <c r="B6" s="18">
        <v>1123800000</v>
      </c>
      <c r="C6" s="18">
        <v>1115400000</v>
      </c>
      <c r="D6" s="18">
        <v>963800000</v>
      </c>
      <c r="E6" s="18">
        <v>1073400000</v>
      </c>
      <c r="F6" s="8" t="s">
        <v>85</v>
      </c>
    </row>
    <row r="7" spans="1:6" x14ac:dyDescent="0.25">
      <c r="A7" t="s">
        <v>86</v>
      </c>
      <c r="B7" s="18">
        <v>328200000</v>
      </c>
      <c r="C7" s="18">
        <v>312200000</v>
      </c>
      <c r="D7" s="18">
        <v>298400000</v>
      </c>
      <c r="E7" s="18">
        <v>290700000</v>
      </c>
      <c r="F7" s="8" t="s">
        <v>87</v>
      </c>
    </row>
    <row r="8" spans="1:6" x14ac:dyDescent="0.25">
      <c r="A8" t="s">
        <v>88</v>
      </c>
      <c r="B8" s="18">
        <v>200400000</v>
      </c>
      <c r="C8" s="18">
        <v>239800000</v>
      </c>
      <c r="D8" s="18">
        <v>285100000</v>
      </c>
      <c r="E8" s="18">
        <v>298500000</v>
      </c>
      <c r="F8" s="8" t="s">
        <v>89</v>
      </c>
    </row>
    <row r="9" spans="1:6" x14ac:dyDescent="0.25">
      <c r="A9" t="s">
        <v>90</v>
      </c>
      <c r="B9" s="18">
        <v>242800000</v>
      </c>
      <c r="C9" s="18">
        <v>203100000</v>
      </c>
      <c r="D9" s="18">
        <v>60300000</v>
      </c>
      <c r="E9" s="18">
        <v>226200000</v>
      </c>
      <c r="F9" s="8" t="s">
        <v>91</v>
      </c>
    </row>
    <row r="10" spans="1:6" x14ac:dyDescent="0.25">
      <c r="A10" t="s">
        <v>92</v>
      </c>
      <c r="B10" s="18">
        <v>3732900000</v>
      </c>
      <c r="C10" s="18">
        <v>3152200000</v>
      </c>
      <c r="D10" s="18">
        <v>3244300000</v>
      </c>
      <c r="E10" s="18">
        <v>3102100000</v>
      </c>
      <c r="F10" s="8" t="s">
        <v>93</v>
      </c>
    </row>
    <row r="11" spans="1:6" x14ac:dyDescent="0.25">
      <c r="A11" t="s">
        <v>94</v>
      </c>
      <c r="B11" s="18">
        <v>202800000</v>
      </c>
      <c r="C11" s="18">
        <v>329100000</v>
      </c>
      <c r="D11" s="18">
        <v>215000000</v>
      </c>
      <c r="E11" s="18">
        <v>167200000</v>
      </c>
      <c r="F11" s="8" t="s">
        <v>95</v>
      </c>
    </row>
    <row r="12" spans="1:6" x14ac:dyDescent="0.25">
      <c r="A12" t="s">
        <v>32</v>
      </c>
      <c r="B12" s="34">
        <v>78300000</v>
      </c>
      <c r="C12" s="34">
        <v>80700000</v>
      </c>
      <c r="D12" s="34">
        <v>81100000</v>
      </c>
      <c r="E12" s="34">
        <v>82200000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