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<sst xmlns="http://schemas.openxmlformats.org/spreadsheetml/2006/main" count="122" uniqueCount="109">
  <si>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American Water Works Company, Inc. (AWK)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</si>
  <si>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</si>
  <si>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</si>
  <si>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</si>
  <si>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</si>
  <si>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</si>
  <si>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</si>
  <si>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</si>
  <si>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</si>
  <si>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</si>
  <si>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</si>
  <si>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</si>
  <si>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</si>
  <si>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</si>
  <si>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</si>
  <si>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</si>
  <si>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</si>
  <si>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</si>
  <si>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</si>
  <si>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</si>
  <si>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</si>
  <si>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</si>
  <si>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</si>
  <si>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</si>
  <si>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3.1x interest cover. Book interest / average debt was lower, at 4.1%.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</si>
  <si>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</si>
  <si>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</si>
  <si>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</si>
  <si>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</si>
  <si>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</si>
  <si>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</si>
  <si>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</si>
  <si>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</si>
  <si>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</si>
  <si>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</si>
  <si>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</si>
  <si>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</si>
  <si>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</si>
  <si>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</si>
  <si>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</si>
  <si>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</si>
  <si>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</si>
  <si>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</si>
  <si>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</si>
  <si>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</si>
  <si>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</si>
  <si>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</si>
  <si>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</si>
  <si>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</si>
  <si>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</si>
  <si>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</si>
  <si>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</si>
  <si>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</si>
  <si>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</si>
  <si>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</si>
  <si>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</si>
  <si>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</si>
  <si>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</si>
  <si>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</si>
  <si>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</si>
  <si>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</si>
  <si>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</si>
  <si>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</si>
  <si>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</si>
  <si>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</si>
  <si>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</si>
  <si>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</si>
  <si>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</si>
  <si>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</si>
  <si>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</si>
  <si>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</si>
  <si>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</si>
  <si>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</si>
  <si>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</si>
  <si>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</si>
  <si>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</si>
  <si>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</si>
  <si>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</si>
  <si>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</si>
  <si>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</si>
  <si>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</si>
  <si>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</si>
  <si>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</si>
  <si>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</si>
  <si>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</si>
  <si>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</si>
  <si>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</si>
  <si>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</si>
  <si>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</si>
  <si>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</si>
  <si>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</si>
  <si>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</si>
  <si>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</si>
  <si>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</si>
  <si>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</si>
  <si>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</si>
  <si>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</si>
  <si>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</si>
  <si>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</si>
  <si>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</si>
  <si>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</si>
  <si>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</si>
  <si>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</si>
  <si>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</si>
  <si>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</si>
  <si>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8.9%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</si>
  <si>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</si>
  <si>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64.2% of revenue against depreciation of 17.0%.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</si>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</sst>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0.05796456031128394</v>
      </c>
    </row>
    <row r="7" spans="1:2" x14ac:dyDescent="0.25">
      <c r="A7" t="s">
        <v>4</v>
      </c>
      <c r="B7" s="5">
        <v>0.3558177833250573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0.16989626452278334</v>
      </c>
    </row>
    <row r="10" spans="1:3" x14ac:dyDescent="0.25">
      <c r="A10" t="s">
        <v>7</v>
      </c>
      <c r="B10" s="5">
        <v>0.6420787002939096</v>
      </c>
      <c r="C10" s="6" t="s">
        <v>8</v>
      </c>
    </row>
    <row r="11" spans="1:2" x14ac:dyDescent="0.25">
      <c r="A11" t="s">
        <v>9</v>
      </c>
      <c r="B11" s="5">
        <v>0.03700750945842428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16.29065933501623</v>
      </c>
    </row>
    <row r="14" spans="1:3" x14ac:dyDescent="0.25">
      <c r="A14" t="s">
        <v>12</v>
      </c>
      <c r="B14" s="5">
        <v>0.06686440373357806</v>
      </c>
      <c r="C14" s="6" t="s">
        <v>13</v>
      </c>
    </row>
    <row r="15" spans="1:3" x14ac:dyDescent="0.25">
      <c r="A15" t="s">
        <v>14</v>
      </c>
      <c r="B15" s="5">
        <v>0.16989626452278334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0.6951499999999999</v>
      </c>
      <c r="C19" s="6" t="s">
        <v>21</v>
      </c>
    </row>
    <row r="20" spans="1:2" x14ac:dyDescent="0.25">
      <c r="A20" t="s">
        <v>22</v>
      </c>
      <c r="B20" s="9">
        <f>B17+B19*B18</f>
        <v>0.078344845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29353998336</v>
      </c>
    </row>
    <row r="23" spans="1:2" x14ac:dyDescent="0.25">
      <c r="A23" t="s">
        <v>26</v>
      </c>
      <c r="B23" s="10">
        <v>15918000000</v>
      </c>
    </row>
    <row r="24" spans="1:2" x14ac:dyDescent="0.25">
      <c r="A24" t="s">
        <v>27</v>
      </c>
      <c r="B24" s="9">
        <f>B22/(B22+B23)</f>
        <v>0.6483919291156602</v>
      </c>
    </row>
    <row r="25" spans="1:2" x14ac:dyDescent="0.25">
      <c r="A25" t="s">
        <v>28</v>
      </c>
      <c r="B25" s="9">
        <f>1-B24</f>
        <v>0.35160807088433976</v>
      </c>
    </row>
    <row r="26" spans="1:2" x14ac:dyDescent="0.25">
      <c r="A26" t="s">
        <v>29</v>
      </c>
      <c r="B26" s="11">
        <f>B24*B20+B25*B21*(1-B8)</f>
        <v>0.06686440373357806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5140000000</v>
      </c>
      <c r="C29" s="6" t="s">
        <v>32</v>
      </c>
    </row>
    <row r="30" spans="1:2" x14ac:dyDescent="0.25">
      <c r="A30" t="s">
        <v>33</v>
      </c>
      <c r="B30" s="10">
        <v>15820000000</v>
      </c>
    </row>
    <row r="31" spans="1:2" x14ac:dyDescent="0.25">
      <c r="A31" t="s">
        <v>34</v>
      </c>
      <c r="B31" s="12">
        <v>195000000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0.05796456031128394</v>
      </c>
      <c r="C5" s="5">
        <v>0.06930287382615608</v>
      </c>
      <c r="D5" s="5">
        <v>0.06376501459788657</v>
      </c>
      <c r="E5" s="5">
        <v>0.058227155369617055</v>
      </c>
      <c r="F5" s="5">
        <v>0.05268929614134755</v>
      </c>
      <c r="G5" s="5">
        <v>0.047151436913078035</v>
      </c>
      <c r="H5" s="5">
        <v>0.04161357768480853</v>
      </c>
      <c r="I5" s="5">
        <v>0.03607571845653902</v>
      </c>
      <c r="J5" s="5">
        <v>0.030537859228269508</v>
      </c>
      <c r="K5" s="5">
        <v>0.025</v>
      </c>
    </row>
    <row r="6" spans="1:11" x14ac:dyDescent="0.25">
      <c r="A6" t="s">
        <v>50</v>
      </c>
      <c r="B6" s="18">
        <f>Assumptions!B29*(1+B5)</f>
        <v>5437937839.999999</v>
      </c>
      <c r="C6" s="18">
        <f>B6*(1+C5)</f>
        <v>5814802559.999999</v>
      </c>
      <c r="D6" s="18">
        <f>C6*(1+D5)</f>
        <v>6185583530.122227</v>
      </c>
      <c r="E6" s="18">
        <f>D6*(1+E5)</f>
        <v>6545752463.382398</v>
      </c>
      <c r="F6" s="18">
        <f>E6*(1+F5)</f>
        <v>6890643553.393509</v>
      </c>
      <c r="G6" s="18">
        <f>F6*(1+G5)</f>
        <v>7215547298.191852</v>
      </c>
      <c r="H6" s="18">
        <f>G6*(1+H5)</f>
        <v>7515812036.223569</v>
      </c>
      <c r="I6" s="18">
        <f>H6*(1+I5)</f>
        <v>7786950355.214638</v>
      </c>
      <c r="J6" s="18">
        <f>I6*(1+J5)</f>
        <v>8024747148.979705</v>
      </c>
      <c r="K6" s="18">
        <f>J6*(1+K5)</f>
        <v>8225365827.704197</v>
      </c>
    </row>
    <row r="7" spans="1:11" x14ac:dyDescent="0.25">
      <c r="A7" t="s">
        <v>4</v>
      </c>
      <c r="B7" s="9">
        <f>Assumptions!B7</f>
        <v>0.3558177833250573</v>
      </c>
      <c r="C7" s="9">
        <f>Assumptions!B7</f>
        <v>0.3558177833250573</v>
      </c>
      <c r="D7" s="9">
        <f>Assumptions!B7</f>
        <v>0.3558177833250573</v>
      </c>
      <c r="E7" s="9">
        <f>Assumptions!B7</f>
        <v>0.3558177833250573</v>
      </c>
      <c r="F7" s="9">
        <f>Assumptions!B7</f>
        <v>0.3558177833250573</v>
      </c>
      <c r="G7" s="9">
        <f>Assumptions!B7</f>
        <v>0.3558177833250573</v>
      </c>
      <c r="H7" s="9">
        <f>Assumptions!B7</f>
        <v>0.3558177833250573</v>
      </c>
      <c r="I7" s="9">
        <f>Assumptions!B7</f>
        <v>0.3558177833250573</v>
      </c>
      <c r="J7" s="9">
        <f>Assumptions!B7</f>
        <v>0.3558177833250573</v>
      </c>
      <c r="K7" s="9">
        <f>Assumptions!B7</f>
        <v>0.3558177833250573</v>
      </c>
    </row>
    <row r="8" spans="1:11" x14ac:dyDescent="0.25">
      <c r="A8" t="s">
        <v>51</v>
      </c>
      <c r="B8" s="18">
        <f>B6*B7</f>
        <v>1934914988.08825</v>
      </c>
      <c r="C8" s="18">
        <f>C6*C7</f>
        <v>2069010157.3720682</v>
      </c>
      <c r="D8" s="18">
        <f>D6*D7</f>
        <v>2200940620.2600737</v>
      </c>
      <c r="E8" s="18">
        <f>E6*E7</f>
        <v>2329095131.715258</v>
      </c>
      <c r="F8" s="18">
        <f>F6*F7</f>
        <v>2451813514.8515744</v>
      </c>
      <c r="G8" s="18">
        <f>G6*G7</f>
        <v>2567420045.119731</v>
      </c>
      <c r="H8" s="18">
        <f>H6*H7</f>
        <v>2674259578.6168556</v>
      </c>
      <c r="I8" s="18">
        <f>I6*I7</f>
        <v>2770735414.25474</v>
      </c>
      <c r="J8" s="18">
        <f>J6*J7</f>
        <v>2855347742.294032</v>
      </c>
      <c r="K8" s="18">
        <f>K6*K7</f>
        <v>2926731435.8513827</v>
      </c>
    </row>
    <row r="9" spans="1:11" x14ac:dyDescent="0.25">
      <c r="A9" t="s">
        <v>52</v>
      </c>
      <c r="B9" s="18">
        <f>B8*(1-Assumptions!B8)</f>
        <v>1528582840.5897174</v>
      </c>
      <c r="C9" s="18">
        <f>C8*(1-Assumptions!B8)</f>
        <v>1634518024.3239338</v>
      </c>
      <c r="D9" s="18">
        <f>D8*(1-Assumptions!B8)</f>
        <v>1738743090.0054584</v>
      </c>
      <c r="E9" s="18">
        <f>E8*(1-Assumptions!B8)</f>
        <v>1839985154.055054</v>
      </c>
      <c r="F9" s="18">
        <f>F8*(1-Assumptions!B8)</f>
        <v>1936932676.732744</v>
      </c>
      <c r="G9" s="18">
        <f>G8*(1-Assumptions!B8)</f>
        <v>2028261835.6445875</v>
      </c>
      <c r="H9" s="18">
        <f>H8*(1-Assumptions!B8)</f>
        <v>2112665067.107316</v>
      </c>
      <c r="I9" s="18">
        <f>I8*(1-Assumptions!B8)</f>
        <v>2188880977.261245</v>
      </c>
      <c r="J9" s="18">
        <f>J8*(1-Assumptions!B8)</f>
        <v>2255724716.4122853</v>
      </c>
      <c r="K9" s="18">
        <f>K8*(1-Assumptions!B8)</f>
        <v>2312117834.3225923</v>
      </c>
    </row>
    <row r="10" spans="1:11" x14ac:dyDescent="0.25">
      <c r="A10" t="s">
        <v>53</v>
      </c>
      <c r="B10" s="18">
        <f>B6*Assumptions!B9</f>
        <v>923885325.7230929</v>
      </c>
      <c r="C10" s="18">
        <f>C6*Assumptions!B9</f>
        <v>987913233.8815175</v>
      </c>
      <c r="D10" s="18">
        <f>D6*Assumptions!B9</f>
        <v>1050907535.6614177</v>
      </c>
      <c r="E10" s="18">
        <f>E6*Assumptions!B9</f>
        <v>1112098892.0194764</v>
      </c>
      <c r="F10" s="18">
        <f>F6*Assumptions!B9</f>
        <v>1170694599.8795552</v>
      </c>
      <c r="G10" s="18">
        <f>G6*Assumptions!B9</f>
        <v>1225894532.4502575</v>
      </c>
      <c r="H10" s="18">
        <f>H6*Assumptions!B9</f>
        <v>1276908389.8097584</v>
      </c>
      <c r="I10" s="18">
        <f>I6*Assumptions!B9</f>
        <v>1322973777.3753278</v>
      </c>
      <c r="J10" s="18">
        <f>J6*Assumptions!B9</f>
        <v>1363374564.3515074</v>
      </c>
      <c r="K10" s="18">
        <f>K6*Assumptions!B9</f>
        <v>1397458928.460295</v>
      </c>
    </row>
    <row r="11" spans="1:11" x14ac:dyDescent="0.25">
      <c r="A11" t="s">
        <v>54</v>
      </c>
      <c r="B11" s="18">
        <f>-B6*B19</f>
        <v>-3491584060.5862694</v>
      </c>
      <c r="C11" s="18">
        <f>-C6*C19</f>
        <v>-3496392422.661157</v>
      </c>
      <c r="D11" s="18">
        <f>-D6*D19</f>
        <v>-3467048439.483879</v>
      </c>
      <c r="E11" s="18">
        <f>-E6*E19</f>
        <v>-3401943094.398429</v>
      </c>
      <c r="F11" s="18">
        <f>-F6*F19</f>
        <v>-3300140289.75643</v>
      </c>
      <c r="G11" s="18">
        <f>-G6*G19</f>
        <v>-3161446000.2584214</v>
      </c>
      <c r="H11" s="18">
        <f>-H6*H19</f>
        <v>-2986457530.009453</v>
      </c>
      <c r="I11" s="18">
        <f>-I6*I19</f>
        <v>-2776589658.9969974</v>
      </c>
      <c r="J11" s="18">
        <f>-J6*J19</f>
        <v>-2534075269.3572545</v>
      </c>
      <c r="K11" s="18">
        <f>-K6*K19</f>
        <v>-2261939019.965803</v>
      </c>
    </row>
    <row r="12" spans="1:11" x14ac:dyDescent="0.25">
      <c r="A12" t="s">
        <v>55</v>
      </c>
      <c r="B12" s="18">
        <f>-(B6-Assumptions!B29)*Assumptions!B11</f>
        <v>-11025937.431822464</v>
      </c>
      <c r="C12" s="18">
        <f>-(C6-B6)*Assumptions!B11</f>
        <v>-13946824.689946417</v>
      </c>
      <c r="D12" s="18">
        <f>-(D6-C6)*Assumptions!B11</f>
        <v>-13721680.258802071</v>
      </c>
      <c r="E12" s="18">
        <f>-(E6-D6)*Assumptions!B11</f>
        <v>-13328955.20425636</v>
      </c>
      <c r="F12" s="18">
        <f>-(F6-E6)*Assumptions!B11</f>
        <v>-12763560.275712458</v>
      </c>
      <c r="G12" s="18">
        <f>-(G6-F6)*Assumptions!B11</f>
        <v>-12023878.408702135</v>
      </c>
      <c r="H12" s="18">
        <f>-(H6-G6)*Assumptions!B11</f>
        <v>-11112050.132740065</v>
      </c>
      <c r="I12" s="18">
        <f>-(I6-H6)*Assumptions!B11</f>
        <v>-10034153.90460324</v>
      </c>
      <c r="J12" s="18">
        <f>-(J6-I6)*Assumptions!B11</f>
        <v>-8800267.094443688</v>
      </c>
      <c r="K12" s="18">
        <f>-(K6-J6)*Assumptions!B11</f>
        <v>-7424397.650433222</v>
      </c>
    </row>
    <row r="13" spans="1:11" x14ac:dyDescent="0.25">
      <c r="A13" s="19" t="s">
        <v>56</v>
      </c>
      <c r="B13" s="20">
        <f>B9+B10+B11+B12</f>
        <v>-1050141831.7052814</v>
      </c>
      <c r="C13" s="20">
        <f>C9+C10+C11+C12</f>
        <v>-887907989.145652</v>
      </c>
      <c r="D13" s="20">
        <f>D9+D10+D11+D12</f>
        <v>-691119494.0758053</v>
      </c>
      <c r="E13" s="20">
        <f>E9+E10+E11+E12</f>
        <v>-463188003.5281547</v>
      </c>
      <c r="F13" s="20">
        <f>F9+F10+F11+F12</f>
        <v>-205276573.41984364</v>
      </c>
      <c r="G13" s="20">
        <f>G9+G10+G11+G12</f>
        <v>80686489.42772126</v>
      </c>
      <c r="H13" s="20">
        <f>H9+H10+H11+H12</f>
        <v>392003876.7748813</v>
      </c>
      <c r="I13" s="20">
        <f>I9+I10+I11+I12</f>
        <v>725230941.7349722</v>
      </c>
      <c r="J13" s="20">
        <f>J9+J10+J11+J12</f>
        <v>1076223744.3120947</v>
      </c>
      <c r="K13" s="20">
        <f>K9+K10+K11+K12</f>
        <v>1440213345.166651</v>
      </c>
    </row>
    <row r="14" spans="1:11" x14ac:dyDescent="0.25">
      <c r="A14" t="s">
        <v>57</v>
      </c>
      <c r="B14" s="21">
        <f>1/(1+Assumptions!$B$26)^(1-0.5*Assumptions!$B$32)</f>
        <v>0.9681561030471417</v>
      </c>
      <c r="C14" s="21">
        <f>1/(1+Assumptions!$B$26)^(2-0.5*Assumptions!$B$32)</f>
        <v>0.907478119673879</v>
      </c>
      <c r="D14" s="21">
        <f>1/(1+Assumptions!$B$26)^(3-0.5*Assumptions!$B$32)</f>
        <v>0.8506030536758806</v>
      </c>
      <c r="E14" s="21">
        <f>1/(1+Assumptions!$B$26)^(4-0.5*Assumptions!$B$32)</f>
        <v>0.7972925619217647</v>
      </c>
      <c r="F14" s="21">
        <f>1/(1+Assumptions!$B$26)^(5-0.5*Assumptions!$B$32)</f>
        <v>0.747323239140396</v>
      </c>
      <c r="G14" s="21">
        <f>1/(1+Assumptions!$B$26)^(6-0.5*Assumptions!$B$32)</f>
        <v>0.7004856817090138</v>
      </c>
      <c r="H14" s="21">
        <f>1/(1+Assumptions!$B$26)^(7-0.5*Assumptions!$B$32)</f>
        <v>0.6565836101172816</v>
      </c>
      <c r="I14" s="21">
        <f>1/(1+Assumptions!$B$26)^(8-0.5*Assumptions!$B$32)</f>
        <v>0.6154330464298126</v>
      </c>
      <c r="J14" s="21">
        <f>1/(1+Assumptions!$B$26)^(9-0.5*Assumptions!$B$32)</f>
        <v>0.5768615433002122</v>
      </c>
      <c r="K14" s="21">
        <f>1/(1+Assumptions!$B$26)^(10-0.5*Assumptions!$B$32)</f>
        <v>0.5407074613057092</v>
      </c>
    </row>
    <row r="15" spans="1:11" x14ac:dyDescent="0.25">
      <c r="A15" s="19" t="s">
        <v>58</v>
      </c>
      <c r="B15" s="20">
        <f>B13*B14</f>
        <v>-1016701223.4305725</v>
      </c>
      <c r="C15" s="20">
        <f>C13*C14</f>
        <v>-805757072.4333113</v>
      </c>
      <c r="D15" s="20">
        <f>D13*D14</f>
        <v>-587868352.1158097</v>
      </c>
      <c r="E15" s="20">
        <f>E13*E14</f>
        <v>-369296349.98438984</v>
      </c>
      <c r="F15" s="20">
        <f>F13*F14</f>
        <v>-153407953.76775888</v>
      </c>
      <c r="G15" s="20">
        <f>G13*G14</f>
        <v>56519730.551484466</v>
      </c>
      <c r="H15" s="20">
        <f>H13*H14</f>
        <v>257383320.59282157</v>
      </c>
      <c r="I15" s="20">
        <f>I13*I14</f>
        <v>446331087.8371159</v>
      </c>
      <c r="J15" s="20">
        <f>J13*J14</f>
        <v>620832090.080208</v>
      </c>
      <c r="K15" s="20">
        <f>K13*K14</f>
        <v>778734101.603663</v>
      </c>
    </row>
    <row r="17" spans="1:2" x14ac:dyDescent="0.25">
      <c r="A17" s="22" t="s">
        <v>59</v>
      </c>
      <c r="B17" s="23">
        <f>SUM(B15:K15)</f>
        <v>-773230621.0665493</v>
      </c>
    </row>
    <row r="19" spans="1:11" x14ac:dyDescent="0.25">
      <c r="A19" t="s">
        <v>7</v>
      </c>
      <c r="B19" s="9">
        <f>Assumptions!$B$10+($B$20-Assumptions!$B$10)*0/9</f>
        <v>0.6420787002939096</v>
      </c>
      <c r="C19" s="9">
        <f>Assumptions!$B$10+($B$20-Assumptions!$B$10)*1/9</f>
        <v>0.6012916838677937</v>
      </c>
      <c r="D19" s="9">
        <f>Assumptions!$B$10+($B$20-Assumptions!$B$10)*2/9</f>
        <v>0.5605046674416779</v>
      </c>
      <c r="E19" s="9">
        <f>Assumptions!$B$10+($B$20-Assumptions!$B$10)*3/9</f>
        <v>0.5197176510155621</v>
      </c>
      <c r="F19" s="9">
        <f>Assumptions!$B$10+($B$20-Assumptions!$B$10)*4/9</f>
        <v>0.4789306345894463</v>
      </c>
      <c r="G19" s="9">
        <f>Assumptions!$B$10+($B$20-Assumptions!$B$10)*5/9</f>
        <v>0.4381436181633305</v>
      </c>
      <c r="H19" s="9">
        <f>Assumptions!$B$10+($B$20-Assumptions!$B$10)*6/9</f>
        <v>0.39735660173721465</v>
      </c>
      <c r="I19" s="9">
        <f>Assumptions!$B$10+($B$20-Assumptions!$B$10)*7/9</f>
        <v>0.35656958531109884</v>
      </c>
      <c r="J19" s="9">
        <f>Assumptions!$B$10+($B$20-Assumptions!$B$10)*8/9</f>
        <v>0.315782568884983</v>
      </c>
      <c r="K19" s="9">
        <f>Assumptions!$B$10+($B$20-Assumptions!$B$10)*9/9</f>
        <v>0.2749955524588672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0.2749955524588672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1440213345.166651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2312117834.3225923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0.37389101830045135</v>
      </c>
    </row>
    <row r="7" spans="1:2" x14ac:dyDescent="0.25">
      <c r="A7" t="s">
        <v>66</v>
      </c>
      <c r="B7" s="18">
        <f>-MAX(B5,0)*B6</f>
        <v>-864480091.5055083</v>
      </c>
    </row>
    <row r="8" spans="1:2" x14ac:dyDescent="0.25">
      <c r="A8" t="s">
        <v>67</v>
      </c>
      <c r="B8" s="18">
        <f>IF(OR(Assumptions!$B$33=0,Assumptions!B12&lt;=0),B5,MAX(B5+B7,0))</f>
        <v>1447637742.8170838</v>
      </c>
    </row>
    <row r="9" spans="1:2" x14ac:dyDescent="0.25">
      <c r="A9" t="s">
        <v>68</v>
      </c>
      <c r="B9" s="18">
        <f>B8*(1+Assumptions!B12)/(Assumptions!B26-Assumptions!B12)</f>
        <v>35443683751.72583</v>
      </c>
    </row>
    <row r="10" spans="1:2" x14ac:dyDescent="0.25">
      <c r="A10" t="s">
        <v>69</v>
      </c>
      <c r="B10" s="18">
        <f>B9/(1+Assumptions!B26)^(10-0.5*Assumptions!B32)</f>
        <v>19164664260.71809</v>
      </c>
    </row>
    <row r="11" spans="1:2" x14ac:dyDescent="0.25">
      <c r="A11" t="s">
        <v>70</v>
      </c>
      <c r="B11" s="18">
        <f>Forecast!B17+B10</f>
        <v>18391433639.651543</v>
      </c>
    </row>
    <row r="12" spans="1:2" x14ac:dyDescent="0.25">
      <c r="A12" t="s">
        <v>71</v>
      </c>
      <c r="B12" s="18">
        <f>-Assumptions!B30</f>
        <v>-15820000000</v>
      </c>
    </row>
    <row r="13" spans="1:2" x14ac:dyDescent="0.25">
      <c r="A13" t="s">
        <v>72</v>
      </c>
      <c r="B13" s="18">
        <f>B11+B12</f>
        <v>2571433639.6515427</v>
      </c>
    </row>
    <row r="14" spans="1:2" x14ac:dyDescent="0.25">
      <c r="A14" s="19" t="s">
        <v>73</v>
      </c>
      <c r="B14" s="24">
        <f>B13/Assumptions!B31</f>
        <v>13.186839177700218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4324190364.311678</v>
      </c>
    </row>
    <row r="18" spans="1:2" x14ac:dyDescent="0.25">
      <c r="A18" t="s">
        <v>68</v>
      </c>
      <c r="B18" s="18">
        <f>B17*Assumptions!B13</f>
        <v>70443912124.76126</v>
      </c>
    </row>
    <row r="19" spans="1:2" x14ac:dyDescent="0.25">
      <c r="A19" t="s">
        <v>69</v>
      </c>
      <c r="B19" s="18">
        <f>B18/(1+Assumptions!B26)^(10-0.5*Assumptions!B32)</f>
        <v>38089548889.422134</v>
      </c>
    </row>
    <row r="20" spans="1:2" x14ac:dyDescent="0.25">
      <c r="A20" t="s">
        <v>70</v>
      </c>
      <c r="B20" s="18">
        <f>Forecast!B17+B19</f>
        <v>37316318268.35558</v>
      </c>
    </row>
    <row r="21" spans="1:2" x14ac:dyDescent="0.25">
      <c r="A21" t="s">
        <v>71</v>
      </c>
      <c r="B21" s="18">
        <f>-Assumptions!B30</f>
        <v>-15820000000</v>
      </c>
    </row>
    <row r="22" spans="1:2" x14ac:dyDescent="0.25">
      <c r="A22" t="s">
        <v>72</v>
      </c>
      <c r="B22" s="18">
        <f>B20+B21</f>
        <v>21496318268.355583</v>
      </c>
    </row>
    <row r="23" spans="1:2" x14ac:dyDescent="0.25">
      <c r="A23" s="19" t="s">
        <v>73</v>
      </c>
      <c r="B23" s="25">
        <f>B22/Assumptions!B31</f>
        <v>110.23752958131068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147.43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13.186839177700218</v>
      </c>
    </row>
    <row r="29" spans="1:2" x14ac:dyDescent="0.25">
      <c r="A29" s="19" t="s">
        <v>81</v>
      </c>
      <c r="B29" s="11">
        <f>B28/B26-1</f>
        <v>-0.9105552521352491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0.046864</v>
      </c>
      <c r="B5" s="31">
        <v>97.53285792779255</v>
      </c>
      <c r="C5" s="31">
        <v>101.2732852482448</v>
      </c>
      <c r="D5" s="31">
        <v>108.06106328987579</v>
      </c>
      <c r="E5" s="31">
        <v>120.6067151087625</v>
      </c>
      <c r="F5" s="31">
        <v>146.1900878609092</v>
      </c>
    </row>
    <row r="6" spans="1:6" x14ac:dyDescent="0.25">
      <c r="A6" s="30">
        <v>0.056864</v>
      </c>
      <c r="B6" s="31">
        <v>44.794297103069034</v>
      </c>
      <c r="C6" s="31">
        <v>42.146441670572294</v>
      </c>
      <c r="D6" s="31">
        <v>39.49858623807549</v>
      </c>
      <c r="E6" s="31">
        <v>36.85073080557873</v>
      </c>
      <c r="F6" s="31">
        <v>34.20287537308197</v>
      </c>
    </row>
    <row r="7" spans="1:6" x14ac:dyDescent="0.25">
      <c r="A7" s="30">
        <v>0.066864</v>
      </c>
      <c r="B7" s="31">
        <v>17.440002486119667</v>
      </c>
      <c r="C7" s="31">
        <v>15.31386733574661</v>
      </c>
      <c r="D7" s="32">
        <v>13.187732185373513</v>
      </c>
      <c r="E7" s="31">
        <v>11.061597035000453</v>
      </c>
      <c r="F7" s="31">
        <v>8.935461884627395</v>
      </c>
    </row>
    <row r="8" spans="1:6" x14ac:dyDescent="0.25">
      <c r="A8" s="30">
        <v>0.076864</v>
      </c>
      <c r="B8" s="31">
        <v>-2.345967082927929</v>
      </c>
      <c r="C8" s="31">
        <v>-4.093776946184764</v>
      </c>
      <c r="D8" s="31">
        <v>-5.8415868094416</v>
      </c>
      <c r="E8" s="31">
        <v>-7.5893966726984265</v>
      </c>
      <c r="F8" s="31">
        <v>-9.337206535955293</v>
      </c>
    </row>
    <row r="9" spans="1:6" x14ac:dyDescent="0.25">
      <c r="A9" s="30">
        <v>0.086864</v>
      </c>
      <c r="B9" s="31">
        <v>-17.208133774322704</v>
      </c>
      <c r="C9" s="31">
        <v>-18.670939476725103</v>
      </c>
      <c r="D9" s="31">
        <v>-20.133745179127523</v>
      </c>
      <c r="E9" s="31">
        <v>-21.59655088152992</v>
      </c>
      <c r="F9" s="31">
        <v>-23.059356583932328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5140000000</v>
      </c>
      <c r="C5" s="18">
        <v>4684000000</v>
      </c>
      <c r="D5" s="18">
        <v>4234000000</v>
      </c>
      <c r="E5" s="18">
        <v>3792000000</v>
      </c>
      <c r="F5" s="6" t="s">
        <v>91</v>
      </c>
    </row>
    <row r="6" spans="1:6" x14ac:dyDescent="0.25">
      <c r="A6" t="s">
        <v>51</v>
      </c>
      <c r="B6" s="18">
        <v>1879000000</v>
      </c>
      <c r="C6" s="18">
        <v>1718000000</v>
      </c>
      <c r="D6" s="18">
        <v>1504000000</v>
      </c>
      <c r="E6" s="18">
        <v>1273000000</v>
      </c>
      <c r="F6" s="6" t="s">
        <v>92</v>
      </c>
    </row>
    <row r="7" spans="1:6" x14ac:dyDescent="0.25">
      <c r="A7" t="s">
        <v>93</v>
      </c>
      <c r="B7" s="18">
        <v>894000000</v>
      </c>
      <c r="C7" s="18">
        <v>788000000</v>
      </c>
      <c r="D7" s="18">
        <v>704000000</v>
      </c>
      <c r="E7" s="18">
        <v>649000000</v>
      </c>
      <c r="F7" s="6" t="s">
        <v>94</v>
      </c>
    </row>
    <row r="8" spans="1:6" x14ac:dyDescent="0.25">
      <c r="A8" t="s">
        <v>95</v>
      </c>
      <c r="B8" s="18">
        <v>3301000000</v>
      </c>
      <c r="C8" s="18">
        <v>3008000000</v>
      </c>
      <c r="D8" s="18">
        <v>2734000000</v>
      </c>
      <c r="E8" s="18">
        <v>2420000000</v>
      </c>
      <c r="F8" s="6" t="s">
        <v>96</v>
      </c>
    </row>
    <row r="9" spans="1:6" x14ac:dyDescent="0.25">
      <c r="A9" t="s">
        <v>97</v>
      </c>
      <c r="B9" s="18">
        <v>51000000</v>
      </c>
      <c r="C9" s="18">
        <v>-40000000</v>
      </c>
      <c r="D9" s="18">
        <v>-76000000</v>
      </c>
      <c r="E9" s="18">
        <v>355000000</v>
      </c>
      <c r="F9" s="6" t="s">
        <v>98</v>
      </c>
    </row>
    <row r="10" spans="1:6" x14ac:dyDescent="0.25">
      <c r="A10" t="s">
        <v>99</v>
      </c>
      <c r="B10" s="18">
        <v>15918000000</v>
      </c>
      <c r="C10" s="18">
        <v>14110000000</v>
      </c>
      <c r="D10" s="18">
        <v>12442000000</v>
      </c>
      <c r="E10" s="18">
        <v>12452000000</v>
      </c>
      <c r="F10" s="6" t="s">
        <v>100</v>
      </c>
    </row>
    <row r="11" spans="1:6" x14ac:dyDescent="0.25">
      <c r="A11" t="s">
        <v>101</v>
      </c>
      <c r="B11" s="18">
        <v>98000000</v>
      </c>
      <c r="C11" s="18">
        <v>96000000</v>
      </c>
      <c r="D11" s="18">
        <v>330000000</v>
      </c>
      <c r="E11" s="18">
        <v>85000000</v>
      </c>
      <c r="F11" s="6" t="s">
        <v>102</v>
      </c>
    </row>
    <row r="12" spans="1:6" x14ac:dyDescent="0.25">
      <c r="A12" t="s">
        <v>34</v>
      </c>
      <c r="B12" s="34">
        <v>195000000</v>
      </c>
      <c r="C12" s="34">
        <v>195000000</v>
      </c>
      <c r="D12" s="34">
        <v>193000000</v>
      </c>
      <c r="E12" s="34">
        <v>182000000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54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