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<sst xmlns="http://schemas.openxmlformats.org/spreadsheetml/2006/main" count="114" uniqueCount="102">
  <si>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Axis Bank Limited (AXISBANK.NS)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</si>
  <si>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</si>
  <si>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</si>
  <si>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</si>
  <si>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</si>
  <si>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</si>
  <si>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</si>
  <si>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</si>
  <si>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</si>
  <si>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</si>
  <si>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</si>
  <si>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</si>
  <si>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</si>
  <si>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</si>
  <si>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</si>
  <si>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</si>
  <si>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</si>
  <si>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</si>
  <si>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</si>
  <si>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</si>
  <si>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</si>
  <si>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</si>
  <si>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29.6% is not a credible funding cost, so risk-free + 2bp is assumed instead. Interest expense and reported debt are measuring different things - common for banks, whose interest expense includes deposits that total debt excludes.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</si>
  <si>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</si>
  <si>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</si>
  <si>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</si>
  <si>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</si>
  <si>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</si>
  <si>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</si>
  <si>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</si>
  <si>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</si>
  <si>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</si>
  <si>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</si>
  <si>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</si>
  <si>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</si>
  <si>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</si>
  <si>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</si>
  <si>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</si>
  <si>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</si>
  <si>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</si>
  <si>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</si>
  <si>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</si>
  <si>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</si>
  <si>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</si>
  <si>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</si>
  <si>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</si>
  <si>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</si>
  <si>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</si>
  <si>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</si>
  <si>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</si>
  <si>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</si>
  <si>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</si>
  <si>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</si>
  <si>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</si>
  <si>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</si>
  <si>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</si>
  <si>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</si>
  <si>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</si>
  <si>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</si>
  <si>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</si>
  <si>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</si>
  <si>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</si>
  <si>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</si>
  <si>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</si>
  <si>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</si>
  <si>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</si>
  <si>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</si>
  <si>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</si>
  <si>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</si>
  <si>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</si>
  <si>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</si>
  <si>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</si>
  <si>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</si>
  <si>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</si>
  <si>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</si>
  <si>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</si>
  <si>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</si>
  <si>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</si>
  <si>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</si>
  <si>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</si>
  <si>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</si>
  <si>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</si>
  <si>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</si>
  <si>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</si>
  <si>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</si>
  <si>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</si>
  <si>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</si>
  <si>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</si>
  <si>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</si>
  <si>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</si>
  <si>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</si>
  <si>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</si>
  <si>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</si>
  <si>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</si>
  <si>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</si>
  <si>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</si>
  <si>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</si>
  <si>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</si>
  <si>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</si>
  <si>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2.68% of revenue against depreciation of 6.78%. A business cannot depreciate more than it invests indefinitely. Capex has been set to 6.78% of revenue so the forecast is not handed free growth. Override it if the reported figure is right.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</si>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</sst>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0.12160508731062092</v>
      </c>
    </row>
    <row r="7" spans="1:2" x14ac:dyDescent="0.25">
      <c r="A7" t="s">
        <v>5</v>
      </c>
      <c r="B7" s="6">
        <v>0.3894934116233567</v>
      </c>
    </row>
    <row r="8" spans="1:2" x14ac:dyDescent="0.25">
      <c r="A8" t="s">
        <v>6</v>
      </c>
      <c r="B8" s="6">
        <v>0.24166827903794597</v>
      </c>
    </row>
    <row r="9" spans="1:2" x14ac:dyDescent="0.25">
      <c r="A9" t="s">
        <v>7</v>
      </c>
      <c r="B9" s="6">
        <v>0.06777570918804918</v>
      </c>
    </row>
    <row r="10" spans="1:2" x14ac:dyDescent="0.25">
      <c r="A10" t="s">
        <v>8</v>
      </c>
      <c r="B10" s="6">
        <v>0.06777570918804918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16.20047596447592</v>
      </c>
    </row>
    <row r="14" spans="1:3" x14ac:dyDescent="0.25">
      <c r="A14" t="s">
        <v>12</v>
      </c>
      <c r="B14" s="6">
        <v>0.09596219635585082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0.6113999999999999</v>
      </c>
      <c r="C19" s="8" t="s">
        <v>19</v>
      </c>
    </row>
    <row r="20" spans="1:2" x14ac:dyDescent="0.25">
      <c r="A20" t="s">
        <v>20</v>
      </c>
      <c r="B20" s="10">
        <f>B17+B19*B18</f>
        <v>0.116912</v>
      </c>
    </row>
    <row r="21" spans="1:3" x14ac:dyDescent="0.25">
      <c r="A21" t="s">
        <v>21</v>
      </c>
      <c r="B21" s="6">
        <v>0.08800000000000001</v>
      </c>
      <c r="C21" s="8" t="s">
        <v>22</v>
      </c>
    </row>
    <row r="22" spans="1:2" x14ac:dyDescent="0.25">
      <c r="A22" t="s">
        <v>23</v>
      </c>
      <c r="B22" s="11">
        <v>3913662595072</v>
      </c>
    </row>
    <row r="23" spans="1:2" x14ac:dyDescent="0.25">
      <c r="A23" t="s">
        <v>24</v>
      </c>
      <c r="B23" s="11">
        <v>2805106200000</v>
      </c>
    </row>
    <row r="24" spans="1:2" x14ac:dyDescent="0.25">
      <c r="A24" t="s">
        <v>25</v>
      </c>
      <c r="B24" s="10">
        <f>B22/(B22+B23)</f>
        <v>0.5824969893208031</v>
      </c>
    </row>
    <row r="25" spans="1:2" x14ac:dyDescent="0.25">
      <c r="A25" t="s">
        <v>26</v>
      </c>
      <c r="B25" s="10">
        <f>1-B24</f>
        <v>0.41750301067919693</v>
      </c>
    </row>
    <row r="26" spans="1:2" x14ac:dyDescent="0.25">
      <c r="A26" t="s">
        <v>27</v>
      </c>
      <c r="B26" s="12">
        <f>B24*B20+B25*B21*(1-B8)</f>
        <v>0.09596219635585082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880673100000</v>
      </c>
      <c r="C29" s="8" t="s">
        <v>30</v>
      </c>
    </row>
    <row r="30" spans="1:2" x14ac:dyDescent="0.25">
      <c r="A30" t="s">
        <v>31</v>
      </c>
      <c r="B30" s="11">
        <v>1624695300000</v>
      </c>
    </row>
    <row r="31" spans="1:2" x14ac:dyDescent="0.25">
      <c r="A31" t="s">
        <v>32</v>
      </c>
      <c r="B31" s="13">
        <v>3123200000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0.12160508731062092</v>
      </c>
      <c r="C5" s="10">
        <f>Assumptions!B6</f>
        <v>0.12160508731062092</v>
      </c>
      <c r="D5" s="10">
        <f>Assumptions!B6</f>
        <v>0.12160508731062092</v>
      </c>
      <c r="E5" s="10">
        <f>Assumptions!B6</f>
        <v>0.12160508731062092</v>
      </c>
      <c r="F5" s="10">
        <f>Assumptions!B6</f>
        <v>0.12160508731062092</v>
      </c>
    </row>
    <row r="6" spans="1:6" x14ac:dyDescent="0.25">
      <c r="A6" t="s">
        <v>43</v>
      </c>
      <c r="B6" s="18">
        <f>Assumptions!B29*(1+B5)</f>
        <v>987767429217.6152</v>
      </c>
      <c r="C6" s="18">
        <f>B6*(1+C5)</f>
        <v>1107884973690.211</v>
      </c>
      <c r="D6" s="18">
        <f>C6*(1+D5)</f>
        <v>1242609422645.934</v>
      </c>
      <c r="E6" s="18">
        <f>D6*(1+E5)</f>
        <v>1393717049979.7932</v>
      </c>
      <c r="F6" s="18">
        <f>E6*(1+F5)</f>
        <v>1563200133528.887</v>
      </c>
    </row>
    <row r="7" spans="1:6" x14ac:dyDescent="0.25">
      <c r="A7" t="s">
        <v>5</v>
      </c>
      <c r="B7" s="10">
        <f>Assumptions!B7</f>
        <v>0.3894934116233567</v>
      </c>
      <c r="C7" s="10">
        <f>Assumptions!B7</f>
        <v>0.3894934116233567</v>
      </c>
      <c r="D7" s="10">
        <f>Assumptions!B7</f>
        <v>0.3894934116233567</v>
      </c>
      <c r="E7" s="10">
        <f>Assumptions!B7</f>
        <v>0.3894934116233567</v>
      </c>
      <c r="F7" s="10">
        <f>Assumptions!B7</f>
        <v>0.3894934116233567</v>
      </c>
    </row>
    <row r="8" spans="1:6" x14ac:dyDescent="0.25">
      <c r="A8" t="s">
        <v>44</v>
      </c>
      <c r="B8" s="18">
        <f>B6*B7</f>
        <v>384728905896.4015</v>
      </c>
      <c r="C8" s="18">
        <f>C6*C7</f>
        <v>431513898088.853</v>
      </c>
      <c r="D8" s="18">
        <f>D6*D7</f>
        <v>483988183341.69446</v>
      </c>
      <c r="E8" s="18">
        <f>E6*E7</f>
        <v>542843608634.27</v>
      </c>
      <c r="F8" s="18">
        <f>F6*F7</f>
        <v>608856153058.2529</v>
      </c>
    </row>
    <row r="9" spans="1:6" x14ac:dyDescent="0.25">
      <c r="A9" t="s">
        <v>45</v>
      </c>
      <c r="B9" s="18">
        <f>B8*(1-Assumptions!B8)</f>
        <v>291752133312.2663</v>
      </c>
      <c r="C9" s="18">
        <f>C8*(1-Assumptions!B8)</f>
        <v>327230676956.76434</v>
      </c>
      <c r="D9" s="18">
        <f>D8*(1-Assumptions!B8)</f>
        <v>367023591998.8053</v>
      </c>
      <c r="E9" s="18">
        <f>E8*(1-Assumptions!B8)</f>
        <v>411655527948.87775</v>
      </c>
      <c r="F9" s="18">
        <f>F8*(1-Assumptions!B8)</f>
        <v>461714934367.00073</v>
      </c>
    </row>
    <row r="10" spans="1:6" x14ac:dyDescent="0.25">
      <c r="A10" t="s">
        <v>46</v>
      </c>
      <c r="B10" s="18">
        <f>B6*Assumptions!B9</f>
        <v>66946638028.08004</v>
      </c>
      <c r="C10" s="18">
        <f>C6*Assumptions!B9</f>
        <v>75087689790.63725</v>
      </c>
      <c r="D10" s="18">
        <f>D6*Assumptions!B9</f>
        <v>84218734863.58052</v>
      </c>
      <c r="E10" s="18">
        <f>E6*Assumptions!B9</f>
        <v>94460161469.85626</v>
      </c>
      <c r="F10" s="18">
        <f>F6*Assumptions!B9</f>
        <v>105946997652.77348</v>
      </c>
    </row>
    <row r="11" spans="1:6" x14ac:dyDescent="0.25">
      <c r="A11" t="s">
        <v>47</v>
      </c>
      <c r="B11" s="18">
        <f>-B6*Assumptions!B10</f>
        <v>-66946638028.08004</v>
      </c>
      <c r="C11" s="18">
        <f>-C6*Assumptions!B10</f>
        <v>-75087689790.63725</v>
      </c>
      <c r="D11" s="18">
        <f>-D6*Assumptions!B10</f>
        <v>-84218734863.58052</v>
      </c>
      <c r="E11" s="18">
        <f>-E6*Assumptions!B10</f>
        <v>-94460161469.85626</v>
      </c>
      <c r="F11" s="18">
        <f>-F6*Assumptions!B10</f>
        <v>-105946997652.77348</v>
      </c>
    </row>
    <row r="12" spans="1:6" x14ac:dyDescent="0.25">
      <c r="A12" t="s">
        <v>48</v>
      </c>
      <c r="B12" s="18">
        <f>-(B6-Assumptions!B29)*Assumptions!B11</f>
        <v>-107094329217.61523</v>
      </c>
      <c r="C12" s="18">
        <f>-(C6-B6)*Assumptions!B11</f>
        <v>-120117544472.5957</v>
      </c>
      <c r="D12" s="18">
        <f>-(D6-C6)*Assumptions!B11</f>
        <v>-134724448955.72314</v>
      </c>
      <c r="E12" s="18">
        <f>-(E6-D6)*Assumptions!B11</f>
        <v>-151107627333.85913</v>
      </c>
      <c r="F12" s="18">
        <f>-(F6-E6)*Assumptions!B11</f>
        <v>-169483083549.09375</v>
      </c>
    </row>
    <row r="13" spans="1:6" x14ac:dyDescent="0.25">
      <c r="A13" s="19" t="s">
        <v>49</v>
      </c>
      <c r="B13" s="20">
        <f>B9+B10+B11+B12</f>
        <v>184657804094.65106</v>
      </c>
      <c r="C13" s="20">
        <f>C9+C10+C11+C12</f>
        <v>207113132484.16864</v>
      </c>
      <c r="D13" s="20">
        <f>D9+D10+D11+D12</f>
        <v>232299143043.08215</v>
      </c>
      <c r="E13" s="20">
        <f>E9+E10+E11+E12</f>
        <v>260547900615.01862</v>
      </c>
      <c r="F13" s="20">
        <f>F9+F10+F11+F12</f>
        <v>292231850817.9069</v>
      </c>
    </row>
    <row r="14" spans="1:6" x14ac:dyDescent="0.25">
      <c r="A14" t="s">
        <v>50</v>
      </c>
      <c r="B14" s="21">
        <f>1/(1+Assumptions!$B$26)^(1-0.5*Assumptions!$B$32)</f>
        <v>0.9552173738765797</v>
      </c>
      <c r="C14" s="21">
        <f>1/(1+Assumptions!$B$26)^(2-0.5*Assumptions!$B$32)</f>
        <v>0.8715787616149011</v>
      </c>
      <c r="D14" s="21">
        <f>1/(1+Assumptions!$B$26)^(3-0.5*Assumptions!$B$32)</f>
        <v>0.7952635268925883</v>
      </c>
      <c r="E14" s="21">
        <f>1/(1+Assumptions!$B$26)^(4-0.5*Assumptions!$B$32)</f>
        <v>0.7256304364665987</v>
      </c>
      <c r="F14" s="21">
        <f>1/(1+Assumptions!$B$26)^(5-0.5*Assumptions!$B$32)</f>
        <v>0.6620944033282987</v>
      </c>
    </row>
    <row r="15" spans="1:6" x14ac:dyDescent="0.25">
      <c r="A15" s="19" t="s">
        <v>51</v>
      </c>
      <c r="B15" s="20">
        <f>B13*B14</f>
        <v>176388342693.10852</v>
      </c>
      <c r="C15" s="20">
        <f>C13*C14</f>
        <v>180515407524.73465</v>
      </c>
      <c r="D15" s="20">
        <f>D13*D14</f>
        <v>184739035790.56738</v>
      </c>
      <c r="E15" s="20">
        <f>E13*E14</f>
        <v>189061486843.73196</v>
      </c>
      <c r="F15" s="20">
        <f>F13*F14</f>
        <v>193485072900.8065</v>
      </c>
    </row>
    <row r="17" spans="1:2" x14ac:dyDescent="0.25">
      <c r="A17" s="22" t="s">
        <v>52</v>
      </c>
      <c r="B17" s="23">
        <f>SUM(B15:F15)</f>
        <v>924189345752.949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292231850817.9069</v>
      </c>
    </row>
    <row r="5" spans="1:2" x14ac:dyDescent="0.25">
      <c r="A5" t="s">
        <v>56</v>
      </c>
      <c r="B5" s="18">
        <f>IF(Assumptions!$B$33=0,B4,B4-Forecast!F11-Forecast!F10-Forecast!F12)</f>
        <v>461714934367.00073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0.2605192560130034</v>
      </c>
    </row>
    <row r="7" spans="1:2" x14ac:dyDescent="0.25">
      <c r="A7" t="s">
        <v>58</v>
      </c>
      <c r="B7" s="18">
        <f>-MAX(Forecast!F9,0)*B6</f>
        <v>-120285631191.38373</v>
      </c>
    </row>
    <row r="8" spans="1:2" x14ac:dyDescent="0.25">
      <c r="A8" t="s">
        <v>59</v>
      </c>
      <c r="B8" s="18">
        <f>IF(OR(Assumptions!$B$33=0,Assumptions!B12&lt;=0),B5,MAX(B5+B7,0))</f>
        <v>341429303175.617</v>
      </c>
    </row>
    <row r="9" spans="1:2" x14ac:dyDescent="0.25">
      <c r="A9" t="s">
        <v>60</v>
      </c>
      <c r="B9" s="18">
        <f>B8*(1+Assumptions!B12)/(Assumptions!B26-Assumptions!B12)</f>
        <v>4931710878846.731</v>
      </c>
    </row>
    <row r="10" spans="1:2" x14ac:dyDescent="0.25">
      <c r="A10" t="s">
        <v>61</v>
      </c>
      <c r="B10" s="18">
        <f>B9/(1+Assumptions!B26)^(5-0.5*Assumptions!B32)</f>
        <v>3265258171717.7065</v>
      </c>
    </row>
    <row r="11" spans="1:2" x14ac:dyDescent="0.25">
      <c r="A11" t="s">
        <v>62</v>
      </c>
      <c r="B11" s="18">
        <f>Forecast!B17+B10</f>
        <v>4189447517470.6553</v>
      </c>
    </row>
    <row r="12" spans="1:2" x14ac:dyDescent="0.25">
      <c r="A12" t="s">
        <v>63</v>
      </c>
      <c r="B12" s="18">
        <f>-Assumptions!B30</f>
        <v>-1624695300000</v>
      </c>
    </row>
    <row r="13" spans="1:2" x14ac:dyDescent="0.25">
      <c r="A13" t="s">
        <v>64</v>
      </c>
      <c r="B13" s="18">
        <f>B11+B12</f>
        <v>2564752217470.6553</v>
      </c>
    </row>
    <row r="14" spans="1:2" x14ac:dyDescent="0.25">
      <c r="A14" s="19" t="s">
        <v>65</v>
      </c>
      <c r="B14" s="24">
        <f>B13/Assumptions!B31</f>
        <v>821.1937171717005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714803150711.0264</v>
      </c>
    </row>
    <row r="18" spans="1:2" x14ac:dyDescent="0.25">
      <c r="A18" t="s">
        <v>60</v>
      </c>
      <c r="B18" s="18">
        <f>B17*Assumptions!B13</f>
        <v>11580151262425.64</v>
      </c>
    </row>
    <row r="19" spans="1:2" x14ac:dyDescent="0.25">
      <c r="A19" t="s">
        <v>61</v>
      </c>
      <c r="B19" s="18">
        <f>B18/(1+Assumptions!B26)^(5-0.5*Assumptions!B32)</f>
        <v>7667153340547.149</v>
      </c>
    </row>
    <row r="20" spans="1:2" x14ac:dyDescent="0.25">
      <c r="A20" t="s">
        <v>62</v>
      </c>
      <c r="B20" s="18">
        <f>Forecast!B17+B19</f>
        <v>8591342686300.099</v>
      </c>
    </row>
    <row r="21" spans="1:2" x14ac:dyDescent="0.25">
      <c r="A21" t="s">
        <v>63</v>
      </c>
      <c r="B21" s="18">
        <f>-Assumptions!B30</f>
        <v>-1624695300000</v>
      </c>
    </row>
    <row r="22" spans="1:2" x14ac:dyDescent="0.25">
      <c r="A22" t="s">
        <v>64</v>
      </c>
      <c r="B22" s="18">
        <f>B20+B21</f>
        <v>6966647386300.099</v>
      </c>
    </row>
    <row r="23" spans="1:2" x14ac:dyDescent="0.25">
      <c r="A23" s="19" t="s">
        <v>65</v>
      </c>
      <c r="B23" s="25">
        <f>B22/Assumptions!B31</f>
        <v>2230.6119961258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1257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821.1937171717005</v>
      </c>
    </row>
    <row r="29" spans="1:2" x14ac:dyDescent="0.25">
      <c r="A29" s="19" t="s">
        <v>73</v>
      </c>
      <c r="B29" s="12">
        <f>B28/B26-1</f>
        <v>-0.34670348673691287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0.075962</v>
      </c>
      <c r="B5" s="31">
        <v>1210.9020265178692</v>
      </c>
      <c r="C5" s="31">
        <v>1217.9014382154996</v>
      </c>
      <c r="D5" s="31">
        <v>1224.900849913129</v>
      </c>
      <c r="E5" s="31">
        <v>1231.9002616107591</v>
      </c>
      <c r="F5" s="31">
        <v>1238.8996733083889</v>
      </c>
    </row>
    <row r="6" spans="1:6" x14ac:dyDescent="0.25">
      <c r="A6" s="30">
        <v>0.085962</v>
      </c>
      <c r="B6" s="31">
        <v>987.1140531911972</v>
      </c>
      <c r="C6" s="31">
        <v>993.047018244512</v>
      </c>
      <c r="D6" s="31">
        <v>998.9799832978264</v>
      </c>
      <c r="E6" s="31">
        <v>1004.9129483511409</v>
      </c>
      <c r="F6" s="31">
        <v>1010.8459134044554</v>
      </c>
    </row>
    <row r="7" spans="1:6" x14ac:dyDescent="0.25">
      <c r="A7" s="30">
        <v>0.095962</v>
      </c>
      <c r="B7" s="31">
        <v>810.9969533847234</v>
      </c>
      <c r="C7" s="31">
        <v>816.0968938547878</v>
      </c>
      <c r="D7" s="32">
        <v>821.1968343248527</v>
      </c>
      <c r="E7" s="31">
        <v>826.2967747949172</v>
      </c>
      <c r="F7" s="31">
        <v>831.3967152649817</v>
      </c>
    </row>
    <row r="8" spans="1:6" x14ac:dyDescent="0.25">
      <c r="A8" s="30">
        <v>0.105962</v>
      </c>
      <c r="B8" s="31">
        <v>669.002070413461</v>
      </c>
      <c r="C8" s="31">
        <v>673.4357373000478</v>
      </c>
      <c r="D8" s="31">
        <v>677.8694041866338</v>
      </c>
      <c r="E8" s="31">
        <v>682.3030710732208</v>
      </c>
      <c r="F8" s="31">
        <v>686.7367379598072</v>
      </c>
    </row>
    <row r="9" spans="1:6" x14ac:dyDescent="0.25">
      <c r="A9" s="30">
        <v>0.115962</v>
      </c>
      <c r="B9" s="31">
        <v>552.257294433582</v>
      </c>
      <c r="C9" s="31">
        <v>556.1478005648361</v>
      </c>
      <c r="D9" s="31">
        <v>560.0383066960906</v>
      </c>
      <c r="E9" s="31">
        <v>563.9288128273448</v>
      </c>
      <c r="F9" s="31">
        <v>567.819318958599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880673100000</v>
      </c>
      <c r="C5" s="18">
        <v>846683300000</v>
      </c>
      <c r="D5" s="18">
        <v>766030400000</v>
      </c>
      <c r="E5" s="18">
        <v>624158400000</v>
      </c>
      <c r="F5" s="8" t="s">
        <v>84</v>
      </c>
    </row>
    <row r="6" spans="1:6" x14ac:dyDescent="0.25">
      <c r="A6" t="s">
        <v>44</v>
      </c>
      <c r="B6" s="18">
        <v>322934600000</v>
      </c>
      <c r="C6" s="18">
        <v>367221600000</v>
      </c>
      <c r="D6" s="18">
        <v>351780000000</v>
      </c>
      <c r="E6" s="18">
        <v>186211800000</v>
      </c>
      <c r="F6" s="8" t="s">
        <v>85</v>
      </c>
    </row>
    <row r="7" spans="1:6" x14ac:dyDescent="0.25">
      <c r="A7" t="s">
        <v>86</v>
      </c>
      <c r="B7" s="18">
        <v>18929300000</v>
      </c>
      <c r="C7" s="18">
        <v>17669700000</v>
      </c>
      <c r="D7" s="18">
        <v>13884600000</v>
      </c>
      <c r="E7" s="18">
        <v>131456500000</v>
      </c>
      <c r="F7" s="8" t="s">
        <v>87</v>
      </c>
    </row>
    <row r="8" spans="1:6" x14ac:dyDescent="0.25">
      <c r="A8" t="s">
        <v>88</v>
      </c>
      <c r="B8" s="18">
        <v>22100000000</v>
      </c>
      <c r="C8" s="18">
        <v>24455400000</v>
      </c>
      <c r="D8" s="18">
        <v>23854100000</v>
      </c>
      <c r="E8" s="18">
        <v>13894200000</v>
      </c>
      <c r="F8" s="8" t="s">
        <v>89</v>
      </c>
    </row>
    <row r="9" spans="1:6" x14ac:dyDescent="0.25">
      <c r="A9" t="s">
        <v>90</v>
      </c>
      <c r="B9" s="18">
        <v>552163000000</v>
      </c>
      <c r="C9" s="18">
        <v>-17927900000</v>
      </c>
      <c r="D9" s="18">
        <v>427284000000</v>
      </c>
      <c r="E9" s="18">
        <v>104878200000</v>
      </c>
      <c r="F9" s="8" t="s">
        <v>91</v>
      </c>
    </row>
    <row r="10" spans="1:6" x14ac:dyDescent="0.25">
      <c r="A10" t="s">
        <v>92</v>
      </c>
      <c r="B10" s="18">
        <v>2805106200000</v>
      </c>
      <c r="C10" s="18">
        <v>2206867500000</v>
      </c>
      <c r="D10" s="18">
        <v>2281995500000</v>
      </c>
      <c r="E10" s="18">
        <v>1984445700000</v>
      </c>
      <c r="F10" s="8" t="s">
        <v>93</v>
      </c>
    </row>
    <row r="11" spans="1:6" x14ac:dyDescent="0.25">
      <c r="A11" t="s">
        <v>94</v>
      </c>
      <c r="B11" s="18">
        <v>1180410900000</v>
      </c>
      <c r="C11" s="18">
        <v>1171491700000</v>
      </c>
      <c r="D11" s="18">
        <v>1380502800000</v>
      </c>
      <c r="E11" s="18">
        <v>1392721300000</v>
      </c>
      <c r="F11" s="8" t="s">
        <v>95</v>
      </c>
    </row>
    <row r="12" spans="1:6" x14ac:dyDescent="0.25">
      <c r="A12" t="s">
        <v>32</v>
      </c>
      <c r="B12" s="34">
        <v>3123200000</v>
      </c>
      <c r="C12" s="34">
        <v>3111000000</v>
      </c>
      <c r="D12" s="34">
        <v>3104000000</v>
      </c>
      <c r="E12" s="34">
        <v>3087800000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2026-09-19T00:08:38Z</dcterms:modified>
</cp:coreProperties>
</file>