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<sst xmlns="http://schemas.openxmlformats.org/spreadsheetml/2006/main" count="115" uniqueCount="103">
  <si>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Axon Enterprise, Inc. (AXON)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</si>
  <si>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</si>
  <si>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</si>
  <si>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</si>
  <si>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</si>
  <si>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</si>
  <si>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</si>
  <si>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</si>
  <si>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</si>
  <si>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</si>
  <si>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</si>
  <si>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</si>
  <si>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</si>
  <si>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</si>
  <si>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</si>
  <si>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</si>
  <si>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</si>
  <si>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</si>
  <si>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</si>
  <si>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</si>
  <si>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</si>
  <si>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</si>
  <si>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</si>
  <si>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</si>
  <si>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</si>
  <si>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</si>
  <si>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</si>
  <si>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</si>
  <si>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</si>
  <si>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</si>
  <si>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</si>
  <si>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</si>
  <si>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</si>
  <si>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</si>
  <si>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</si>
  <si>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</si>
  <si>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</si>
  <si>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</si>
  <si>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</si>
  <si>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</si>
  <si>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</si>
  <si>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</si>
  <si>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</si>
  <si>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</si>
  <si>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</si>
  <si>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</si>
  <si>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</si>
  <si>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</si>
  <si>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</si>
  <si>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</si>
  <si>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</si>
  <si>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</si>
  <si>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</si>
  <si>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</si>
  <si>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</si>
  <si>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</si>
  <si>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</si>
  <si>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</si>
  <si>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</si>
  <si>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</si>
  <si>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</si>
  <si>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</si>
  <si>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</si>
  <si>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</si>
  <si>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</si>
  <si>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</si>
  <si>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</si>
  <si>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</si>
  <si>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</si>
  <si>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</si>
  <si>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</si>
  <si>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</si>
  <si>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</si>
  <si>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</si>
  <si>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</si>
  <si>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</si>
  <si>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</si>
  <si>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</si>
  <si>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</si>
  <si>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</si>
  <si>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</si>
  <si>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</si>
  <si>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</si>
  <si>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</si>
  <si>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</si>
  <si>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</si>
  <si>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</si>
  <si>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</si>
  <si>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</si>
  <si>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</si>
  <si>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</si>
  <si>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</si>
  <si>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</si>
  <si>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</si>
  <si>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</si>
  <si>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</si>
  <si>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</si>
  <si>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</si>
  <si>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1.8%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</si>
  <si>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</si>
  <si>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Adjusted: Capital expenditure runs at 4.3% of revenue against depreciation of 2.1%. A perpetuity has to be a steady state, so the terminal year uses maintenance capex at depreciation and then charges the reinvestment terminal growth requires (g/ROIC of NOPAT). The bridge is shown under Terminal Value.</t>
  </si>
  <si>
    <t>Current EV/EBITDA of 1733.5x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</si>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</sst>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0.32787263939187605</v>
      </c>
    </row>
    <row r="7" spans="1:2" x14ac:dyDescent="0.25">
      <c r="A7" t="s">
        <v>5</v>
      </c>
      <c r="B7" s="6">
        <v>0.04614832661757859</v>
      </c>
    </row>
    <row r="8" spans="1:2" x14ac:dyDescent="0.25">
      <c r="A8" t="s">
        <v>6</v>
      </c>
      <c r="B8" s="6">
        <v>0.13149155178292202</v>
      </c>
    </row>
    <row r="9" spans="1:2" x14ac:dyDescent="0.25">
      <c r="A9" t="s">
        <v>7</v>
      </c>
      <c r="B9" s="6">
        <v>0.02125496438207295</v>
      </c>
    </row>
    <row r="10" spans="1:2" x14ac:dyDescent="0.25">
      <c r="A10" t="s">
        <v>8</v>
      </c>
      <c r="B10" s="6">
        <v>0.04301726090764685</v>
      </c>
    </row>
    <row r="11" spans="1:2" x14ac:dyDescent="0.25">
      <c r="A11" t="s">
        <v>9</v>
      </c>
      <c r="B11" s="6">
        <v>0.3341346411247577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0.11681629615555983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1.26733</v>
      </c>
      <c r="C19" s="8" t="s">
        <v>19</v>
      </c>
    </row>
    <row r="20" spans="1:2" x14ac:dyDescent="0.25">
      <c r="A20" t="s">
        <v>20</v>
      </c>
      <c r="B20" s="10">
        <f>B17+B19*B18</f>
        <v>0.11968315000000002</v>
      </c>
    </row>
    <row r="21" spans="1:3" x14ac:dyDescent="0.25">
      <c r="A21" t="s">
        <v>21</v>
      </c>
      <c r="B21" s="6">
        <v>0.07162749265012146</v>
      </c>
      <c r="C21" s="8" t="s">
        <v>22</v>
      </c>
    </row>
    <row r="22" spans="1:2" x14ac:dyDescent="0.25">
      <c r="A22" t="s">
        <v>23</v>
      </c>
      <c r="B22" s="11">
        <v>36374867968</v>
      </c>
    </row>
    <row r="23" spans="1:2" x14ac:dyDescent="0.25">
      <c r="A23" t="s">
        <v>24</v>
      </c>
      <c r="B23" s="11">
        <v>1909664000</v>
      </c>
    </row>
    <row r="24" spans="1:2" x14ac:dyDescent="0.25">
      <c r="A24" t="s">
        <v>25</v>
      </c>
      <c r="B24" s="10">
        <f>B22/(B22+B23)</f>
        <v>0.9501191760265951</v>
      </c>
    </row>
    <row r="25" spans="1:2" x14ac:dyDescent="0.25">
      <c r="A25" t="s">
        <v>26</v>
      </c>
      <c r="B25" s="10">
        <f>1-B24</f>
        <v>0.049880823973404875</v>
      </c>
    </row>
    <row r="26" spans="1:2" x14ac:dyDescent="0.25">
      <c r="A26" t="s">
        <v>27</v>
      </c>
      <c r="B26" s="12">
        <f>B24*B20+B25*B21*(1-B8)</f>
        <v>0.11681629615555983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2779536000</v>
      </c>
      <c r="C29" s="8" t="s">
        <v>30</v>
      </c>
    </row>
    <row r="30" spans="1:2" x14ac:dyDescent="0.25">
      <c r="A30" t="s">
        <v>31</v>
      </c>
      <c r="B30" s="11">
        <v>175887000</v>
      </c>
    </row>
    <row r="31" spans="1:2" x14ac:dyDescent="0.25">
      <c r="A31" t="s">
        <v>32</v>
      </c>
      <c r="B31" s="13">
        <v>82370000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0.32787263939187605</v>
      </c>
      <c r="C5" s="10">
        <f>Assumptions!B6</f>
        <v>0.32787263939187605</v>
      </c>
      <c r="D5" s="10">
        <f>Assumptions!B6</f>
        <v>0.32787263939187605</v>
      </c>
      <c r="E5" s="10">
        <f>Assumptions!B6</f>
        <v>0.32787263939187605</v>
      </c>
      <c r="F5" s="10">
        <f>Assumptions!B6</f>
        <v>0.32787263939187605</v>
      </c>
    </row>
    <row r="6" spans="1:6" x14ac:dyDescent="0.25">
      <c r="A6" t="s">
        <v>43</v>
      </c>
      <c r="B6" s="18">
        <f>Assumptions!B29*(1+B5)</f>
        <v>3690869804.6047378</v>
      </c>
      <c r="C6" s="18">
        <f>B6*(1+C5)</f>
        <v>4901005029.092271</v>
      </c>
      <c r="D6" s="18">
        <f>C6*(1+D5)</f>
        <v>6507910483.653612</v>
      </c>
      <c r="E6" s="18">
        <f>D6*(1+E5)</f>
        <v>8641676270.855183</v>
      </c>
      <c r="F6" s="18">
        <f>E6*(1+F5)</f>
        <v>11475045478.550615</v>
      </c>
    </row>
    <row r="7" spans="1:6" x14ac:dyDescent="0.25">
      <c r="A7" t="s">
        <v>5</v>
      </c>
      <c r="B7" s="10">
        <f>Assumptions!B7</f>
        <v>0.04614832661757859</v>
      </c>
      <c r="C7" s="10">
        <f>Assumptions!B7</f>
        <v>0.04614832661757859</v>
      </c>
      <c r="D7" s="10">
        <f>Assumptions!B7</f>
        <v>0.04614832661757859</v>
      </c>
      <c r="E7" s="10">
        <f>Assumptions!B7</f>
        <v>0.04614832661757859</v>
      </c>
      <c r="F7" s="10">
        <f>Assumptions!B7</f>
        <v>0.04614832661757859</v>
      </c>
    </row>
    <row r="8" spans="1:6" x14ac:dyDescent="0.25">
      <c r="A8" t="s">
        <v>44</v>
      </c>
      <c r="B8" s="18">
        <f>B6*B7</f>
        <v>170327465.2458579</v>
      </c>
      <c r="C8" s="18">
        <f>C6*C7</f>
        <v>226173180.83694535</v>
      </c>
      <c r="D8" s="18">
        <f>D6*D7</f>
        <v>300329178.5976107</v>
      </c>
      <c r="E8" s="18">
        <f>E6*E7</f>
        <v>398798899.0708035</v>
      </c>
      <c r="F8" s="18">
        <f>F6*F7</f>
        <v>529554146.6957222</v>
      </c>
    </row>
    <row r="9" spans="1:6" x14ac:dyDescent="0.25">
      <c r="A9" t="s">
        <v>45</v>
      </c>
      <c r="B9" s="18">
        <f>B8*(1-Assumptions!B8)</f>
        <v>147930842.5294283</v>
      </c>
      <c r="C9" s="18">
        <f>C8*(1-Assumptions!B8)</f>
        <v>196433318.31701598</v>
      </c>
      <c r="D9" s="18">
        <f>D8*(1-Assumptions!B8)</f>
        <v>260838428.85812053</v>
      </c>
      <c r="E9" s="18">
        <f>E8*(1-Assumptions!B8)</f>
        <v>346360212.9826627</v>
      </c>
      <c r="F9" s="18">
        <f>F8*(1-Assumptions!B8)</f>
        <v>459922250.19362056</v>
      </c>
    </row>
    <row r="10" spans="1:6" x14ac:dyDescent="0.25">
      <c r="A10" t="s">
        <v>46</v>
      </c>
      <c r="B10" s="18">
        <f>B6*Assumptions!B9</f>
        <v>78449306.23574226</v>
      </c>
      <c r="C10" s="18">
        <f>C6*Assumptions!B9</f>
        <v>104170687.32971662</v>
      </c>
      <c r="D10" s="18">
        <f>D6*Assumptions!B9</f>
        <v>138325405.53177667</v>
      </c>
      <c r="E10" s="18">
        <f>E6*Assumptions!B9</f>
        <v>183678521.3384319</v>
      </c>
      <c r="F10" s="18">
        <f>F6*Assumptions!B9</f>
        <v>243901682.92926058</v>
      </c>
    </row>
    <row r="11" spans="1:6" x14ac:dyDescent="0.25">
      <c r="A11" t="s">
        <v>47</v>
      </c>
      <c r="B11" s="18">
        <f>-B6*Assumptions!B10</f>
        <v>-158771109.36083755</v>
      </c>
      <c r="C11" s="18">
        <f>-C6*Assumptions!B10</f>
        <v>-210827812.04615155</v>
      </c>
      <c r="D11" s="18">
        <f>-D6*Assumptions!B10</f>
        <v>-279952483.2389376</v>
      </c>
      <c r="E11" s="18">
        <f>-E6*Assumptions!B10</f>
        <v>-371741242.8227981</v>
      </c>
      <c r="F11" s="18">
        <f>-F6*Assumptions!B10</f>
        <v>-493625025.2779251</v>
      </c>
    </row>
    <row r="12" spans="1:6" x14ac:dyDescent="0.25">
      <c r="A12" t="s">
        <v>48</v>
      </c>
      <c r="B12" s="18">
        <f>-(B6-Assumptions!B29)*Assumptions!B11</f>
        <v>-304508193.74646413</v>
      </c>
      <c r="C12" s="18">
        <f>-(C6-B6)*Assumptions!B11</f>
        <v>-404348098.94657</v>
      </c>
      <c r="D12" s="18">
        <f>-(D6-C6)*Assumptions!B11</f>
        <v>-536922777.3812695</v>
      </c>
      <c r="E12" s="18">
        <f>-(E6-D6)*Assumptions!B11</f>
        <v>-712965065.5508829</v>
      </c>
      <c r="F12" s="18">
        <f>-(F6-E6)*Assumptions!B11</f>
        <v>-946726803.3872524</v>
      </c>
    </row>
    <row r="13" spans="1:6" x14ac:dyDescent="0.25">
      <c r="A13" s="19" t="s">
        <v>49</v>
      </c>
      <c r="B13" s="20">
        <f>B9+B10+B11+B12</f>
        <v>-236899154.3421311</v>
      </c>
      <c r="C13" s="20">
        <f>C9+C10+C11+C12</f>
        <v>-314571905.345989</v>
      </c>
      <c r="D13" s="20">
        <f>D9+D10+D11+D12</f>
        <v>-417711426.23030984</v>
      </c>
      <c r="E13" s="20">
        <f>E9+E10+E11+E12</f>
        <v>-554667574.0525864</v>
      </c>
      <c r="F13" s="20">
        <f>F9+F10+F11+F12</f>
        <v>-736527895.5422964</v>
      </c>
    </row>
    <row r="14" spans="1:6" x14ac:dyDescent="0.25">
      <c r="A14" t="s">
        <v>50</v>
      </c>
      <c r="B14" s="21">
        <f>1/(1+Assumptions!$B$26)^(1-0.5*Assumptions!$B$32)</f>
        <v>0.9462570513448285</v>
      </c>
      <c r="C14" s="21">
        <f>1/(1+Assumptions!$B$26)^(2-0.5*Assumptions!$B$32)</f>
        <v>0.8472808416228783</v>
      </c>
      <c r="D14" s="21">
        <f>1/(1+Assumptions!$B$26)^(3-0.5*Assumptions!$B$32)</f>
        <v>0.7586573051803515</v>
      </c>
      <c r="E14" s="21">
        <f>1/(1+Assumptions!$B$26)^(4-0.5*Assumptions!$B$32)</f>
        <v>0.6793035773133804</v>
      </c>
      <c r="F14" s="21">
        <f>1/(1+Assumptions!$B$26)^(5-0.5*Assumptions!$B$32)</f>
        <v>0.6082500583594287</v>
      </c>
    </row>
    <row r="15" spans="1:6" x14ac:dyDescent="0.25">
      <c r="A15" s="19" t="s">
        <v>51</v>
      </c>
      <c r="B15" s="20">
        <f>B13*B14</f>
        <v>-224167495.2538684</v>
      </c>
      <c r="C15" s="20">
        <f>C13*C14</f>
        <v>-266530748.71246198</v>
      </c>
      <c r="D15" s="20">
        <f>D13*D14</f>
        <v>-316899824.96692806</v>
      </c>
      <c r="E15" s="20">
        <f>E13*E14</f>
        <v>-376787667.2736563</v>
      </c>
      <c r="F15" s="20">
        <f>F13*F14</f>
        <v>-447993135.446949</v>
      </c>
    </row>
    <row r="17" spans="1:2" x14ac:dyDescent="0.25">
      <c r="A17" s="22" t="s">
        <v>52</v>
      </c>
      <c r="B17" s="23">
        <f>SUM(B15:F15)</f>
        <v>-1632378871.653864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-736527895.5422964</v>
      </c>
    </row>
    <row r="5" spans="1:2" x14ac:dyDescent="0.25">
      <c r="A5" t="s">
        <v>56</v>
      </c>
      <c r="B5" s="18">
        <f>IF(Assumptions!$B$33=0,B4,B4-Forecast!F11-Forecast!F10-Forecast!F12)</f>
        <v>459922250.19362056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0.21401123664037808</v>
      </c>
    </row>
    <row r="7" spans="1:2" x14ac:dyDescent="0.25">
      <c r="A7" t="s">
        <v>58</v>
      </c>
      <c r="B7" s="18">
        <f>-MAX(Forecast!F9,0)*B6</f>
        <v>-98428529.5223621</v>
      </c>
    </row>
    <row r="8" spans="1:2" x14ac:dyDescent="0.25">
      <c r="A8" t="s">
        <v>59</v>
      </c>
      <c r="B8" s="18">
        <f>IF(OR(Assumptions!$B$33=0,Assumptions!B12&lt;=0),B5,MAX(B5+B7,0))</f>
        <v>361493720.67125845</v>
      </c>
    </row>
    <row r="9" spans="1:2" x14ac:dyDescent="0.25">
      <c r="A9" t="s">
        <v>60</v>
      </c>
      <c r="B9" s="18">
        <f>B8*(1+Assumptions!B12)/(Assumptions!B26-Assumptions!B12)</f>
        <v>4035569710.4168453</v>
      </c>
    </row>
    <row r="10" spans="1:2" x14ac:dyDescent="0.25">
      <c r="A10" t="s">
        <v>61</v>
      </c>
      <c r="B10" s="18">
        <f>B9/(1+Assumptions!B26)^(5-0.5*Assumptions!B32)</f>
        <v>2454635511.874589</v>
      </c>
    </row>
    <row r="11" spans="1:2" x14ac:dyDescent="0.25">
      <c r="A11" t="s">
        <v>62</v>
      </c>
      <c r="B11" s="18">
        <f>Forecast!B17+B10</f>
        <v>822256640.220725</v>
      </c>
    </row>
    <row r="12" spans="1:2" x14ac:dyDescent="0.25">
      <c r="A12" t="s">
        <v>63</v>
      </c>
      <c r="B12" s="18">
        <f>-Assumptions!B30</f>
        <v>-175887000</v>
      </c>
    </row>
    <row r="13" spans="1:2" x14ac:dyDescent="0.25">
      <c r="A13" t="s">
        <v>64</v>
      </c>
      <c r="B13" s="18">
        <f>B11+B12</f>
        <v>646369640.220725</v>
      </c>
    </row>
    <row r="14" spans="1:2" x14ac:dyDescent="0.25">
      <c r="A14" s="19" t="s">
        <v>65</v>
      </c>
      <c r="B14" s="24">
        <f>B13/Assumptions!B31</f>
        <v>7.847148721873559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773455829.6249828</v>
      </c>
    </row>
    <row r="18" spans="1:2" x14ac:dyDescent="0.25">
      <c r="A18" t="s">
        <v>60</v>
      </c>
      <c r="B18" s="18">
        <f>B17*Assumptions!B13</f>
        <v>15469116592.499657</v>
      </c>
    </row>
    <row r="19" spans="1:2" x14ac:dyDescent="0.25">
      <c r="A19" t="s">
        <v>61</v>
      </c>
      <c r="B19" s="18">
        <f>B18/(1+Assumptions!B26)^(5-0.5*Assumptions!B32)</f>
        <v>9409091070.156723</v>
      </c>
    </row>
    <row r="20" spans="1:2" x14ac:dyDescent="0.25">
      <c r="A20" t="s">
        <v>62</v>
      </c>
      <c r="B20" s="18">
        <f>Forecast!B17+B19</f>
        <v>7776712198.502859</v>
      </c>
    </row>
    <row r="21" spans="1:2" x14ac:dyDescent="0.25">
      <c r="A21" t="s">
        <v>63</v>
      </c>
      <c r="B21" s="18">
        <f>-Assumptions!B30</f>
        <v>-175887000</v>
      </c>
    </row>
    <row r="22" spans="1:2" x14ac:dyDescent="0.25">
      <c r="A22" t="s">
        <v>64</v>
      </c>
      <c r="B22" s="18">
        <f>B20+B21</f>
        <v>7600825198.502859</v>
      </c>
    </row>
    <row r="23" spans="1:2" x14ac:dyDescent="0.25">
      <c r="A23" s="19" t="s">
        <v>65</v>
      </c>
      <c r="B23" s="25">
        <f>B22/Assumptions!B31</f>
        <v>92.27662011051183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447.76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7.847148721873559</v>
      </c>
    </row>
    <row r="29" spans="1:2" x14ac:dyDescent="0.25">
      <c r="A29" s="19" t="s">
        <v>73</v>
      </c>
      <c r="B29" s="12">
        <f>B28/B26-1</f>
        <v>-0.982474654453561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0.096816</v>
      </c>
      <c r="B5" s="31">
        <v>15.618002092397475</v>
      </c>
      <c r="C5" s="31">
        <v>15.808257156727404</v>
      </c>
      <c r="D5" s="31">
        <v>15.99851222105732</v>
      </c>
      <c r="E5" s="31">
        <v>16.188767285387243</v>
      </c>
      <c r="F5" s="31">
        <v>16.37902234971715</v>
      </c>
    </row>
    <row r="6" spans="1:6" x14ac:dyDescent="0.25">
      <c r="A6" s="30">
        <v>0.106816</v>
      </c>
      <c r="B6" s="31">
        <v>11.137506613496647</v>
      </c>
      <c r="C6" s="31">
        <v>11.303049155337293</v>
      </c>
      <c r="D6" s="31">
        <v>11.468591697177926</v>
      </c>
      <c r="E6" s="31">
        <v>11.634134239018575</v>
      </c>
      <c r="F6" s="31">
        <v>11.799676780859214</v>
      </c>
    </row>
    <row r="7" spans="1:6" x14ac:dyDescent="0.25">
      <c r="A7" s="30">
        <v>0.116816</v>
      </c>
      <c r="B7" s="31">
        <v>7.556510980658643</v>
      </c>
      <c r="C7" s="31">
        <v>7.701877939625829</v>
      </c>
      <c r="D7" s="32">
        <v>7.847244898593004</v>
      </c>
      <c r="E7" s="31">
        <v>7.992611857560191</v>
      </c>
      <c r="F7" s="31">
        <v>8.137978816527367</v>
      </c>
    </row>
    <row r="8" spans="1:6" x14ac:dyDescent="0.25">
      <c r="A8" s="30">
        <v>0.126816</v>
      </c>
      <c r="B8" s="31">
        <v>4.654981346564486</v>
      </c>
      <c r="C8" s="31">
        <v>4.783620385113153</v>
      </c>
      <c r="D8" s="31">
        <v>4.912259423661808</v>
      </c>
      <c r="E8" s="31">
        <v>5.040898462210469</v>
      </c>
      <c r="F8" s="31">
        <v>5.16953750075913</v>
      </c>
    </row>
    <row r="9" spans="1:6" x14ac:dyDescent="0.25">
      <c r="A9" s="30">
        <v>0.136816</v>
      </c>
      <c r="B9" s="31">
        <v>2.2776623497380033</v>
      </c>
      <c r="C9" s="31">
        <v>2.39225128166719</v>
      </c>
      <c r="D9" s="31">
        <v>2.5068402135963734</v>
      </c>
      <c r="E9" s="31">
        <v>2.6214291455255574</v>
      </c>
      <c r="F9" s="31">
        <v>2.7360180774547382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2779536000</v>
      </c>
      <c r="C5" s="18">
        <v>2082526000</v>
      </c>
      <c r="D5" s="18">
        <v>1560699000</v>
      </c>
      <c r="E5" s="18">
        <v>1187143000</v>
      </c>
      <c r="F5" s="8" t="s">
        <v>84</v>
      </c>
    </row>
    <row r="6" spans="1:6" x14ac:dyDescent="0.25">
      <c r="A6" t="s">
        <v>44</v>
      </c>
      <c r="B6" s="18">
        <v>-62076000</v>
      </c>
      <c r="C6" s="18">
        <v>58540000</v>
      </c>
      <c r="D6" s="18">
        <v>156850000</v>
      </c>
      <c r="E6" s="18">
        <v>92973000</v>
      </c>
      <c r="F6" s="8" t="s">
        <v>85</v>
      </c>
    </row>
    <row r="7" spans="1:6" x14ac:dyDescent="0.25">
      <c r="A7" t="s">
        <v>86</v>
      </c>
      <c r="B7" s="18">
        <v>83161000</v>
      </c>
      <c r="C7" s="18">
        <v>48425000</v>
      </c>
      <c r="D7" s="18">
        <v>19315000</v>
      </c>
      <c r="E7" s="18">
        <v>23116000</v>
      </c>
      <c r="F7" s="8" t="s">
        <v>87</v>
      </c>
    </row>
    <row r="8" spans="1:6" x14ac:dyDescent="0.25">
      <c r="A8" t="s">
        <v>88</v>
      </c>
      <c r="B8" s="18">
        <v>136258000</v>
      </c>
      <c r="C8" s="18">
        <v>78785000</v>
      </c>
      <c r="D8" s="18">
        <v>59635000</v>
      </c>
      <c r="E8" s="18">
        <v>55802000</v>
      </c>
      <c r="F8" s="8" t="s">
        <v>89</v>
      </c>
    </row>
    <row r="9" spans="1:6" x14ac:dyDescent="0.25">
      <c r="A9" t="s">
        <v>90</v>
      </c>
      <c r="B9" s="18">
        <v>481744000</v>
      </c>
      <c r="C9" s="18">
        <v>72688000</v>
      </c>
      <c r="D9" s="18">
        <v>124818000</v>
      </c>
      <c r="E9" s="18">
        <v>-19331000</v>
      </c>
      <c r="F9" s="8" t="s">
        <v>91</v>
      </c>
    </row>
    <row r="10" spans="1:6" x14ac:dyDescent="0.25">
      <c r="A10" t="s">
        <v>92</v>
      </c>
      <c r="B10" s="18">
        <v>1909664000</v>
      </c>
      <c r="C10" s="18">
        <v>721672000</v>
      </c>
      <c r="D10" s="18">
        <v>710663000</v>
      </c>
      <c r="E10" s="18">
        <v>711110000</v>
      </c>
      <c r="F10" s="8" t="s">
        <v>93</v>
      </c>
    </row>
    <row r="11" spans="1:6" x14ac:dyDescent="0.25">
      <c r="A11" t="s">
        <v>94</v>
      </c>
      <c r="B11" s="18">
        <v>1733777000</v>
      </c>
      <c r="C11" s="18">
        <v>986349000</v>
      </c>
      <c r="D11" s="18">
        <v>1320539000</v>
      </c>
      <c r="E11" s="18">
        <v>974693000</v>
      </c>
      <c r="F11" s="8" t="s">
        <v>95</v>
      </c>
    </row>
    <row r="12" spans="1:6" x14ac:dyDescent="0.25">
      <c r="A12" t="s">
        <v>32</v>
      </c>
      <c r="B12" s="34">
        <v>82370000</v>
      </c>
      <c r="C12" s="34">
        <v>78558000</v>
      </c>
      <c r="D12" s="34">
        <v>75456000</v>
      </c>
      <c r="E12" s="34">
        <v>72534000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2026-09-19T01:03:09Z</dcterms:modified>
</cp:coreProperties>
</file>