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<sst xmlns="http://schemas.openxmlformats.org/spreadsheetml/2006/main" count="123" uniqueCount="110">
  <si>
    <t>Axon Enterprise, Inc. (AXON)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</si>
  <si>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</si>
  <si>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</si>
  <si>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</si>
  <si>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</si>
  <si>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</si>
  <si>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</si>
  <si>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</si>
  <si>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</si>
  <si>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</si>
  <si>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</si>
  <si>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</si>
  <si>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</si>
  <si>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</si>
  <si>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</si>
  <si>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</si>
  <si>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</si>
  <si>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</si>
  <si>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</si>
  <si>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</si>
  <si>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</si>
  <si>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</si>
  <si>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</si>
  <si>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</si>
  <si>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</si>
  <si>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</si>
  <si>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</si>
  <si>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</si>
  <si>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</si>
  <si>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</si>
  <si>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</si>
  <si>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</si>
  <si>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</si>
  <si>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</si>
  <si>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</si>
  <si>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</si>
  <si>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</si>
  <si>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</si>
  <si>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</si>
  <si>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</si>
  <si>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</si>
  <si>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</si>
  <si>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</si>
  <si>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</si>
  <si>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</si>
  <si>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</si>
  <si>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</si>
  <si>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</si>
  <si>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</si>
  <si>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</si>
  <si>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</si>
  <si>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</si>
  <si>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</si>
  <si>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</si>
  <si>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</si>
  <si>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</si>
  <si>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</si>
  <si>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</si>
  <si>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</si>
  <si>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</si>
  <si>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</si>
  <si>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</si>
  <si>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</si>
  <si>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</si>
  <si>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</si>
  <si>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</si>
  <si>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</si>
  <si>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</si>
  <si>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</si>
  <si>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</si>
  <si>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</si>
  <si>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</si>
  <si>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</si>
  <si>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</si>
  <si>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</si>
  <si>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</si>
  <si>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</si>
  <si>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</si>
  <si>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</si>
  <si>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</si>
  <si>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</si>
  <si>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</si>
  <si>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</si>
  <si>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</si>
  <si>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</si>
  <si>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</si>
  <si>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</si>
  <si>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</si>
  <si>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</si>
  <si>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</si>
  <si>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</si>
  <si>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</si>
  <si>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</si>
  <si>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</si>
  <si>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</si>
  <si>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</si>
  <si>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</si>
  <si>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</si>
  <si>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</si>
  <si>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</si>
  <si>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</si>
  <si>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</si>
  <si>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</si>
  <si>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</si>
  <si>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</si>
  <si>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1.8%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</si>
  <si>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</si>
  <si>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4.3% of revenue against depreciation of 2.1%.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</si>
  <si>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1647.5x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</si>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</sst>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0.33353630246199373</v>
      </c>
    </row>
    <row r="7" spans="1:2" x14ac:dyDescent="0.25">
      <c r="A7" t="s">
        <v>4</v>
      </c>
      <c r="B7" s="5">
        <v>0.04614832661757859</v>
      </c>
    </row>
    <row r="8" spans="1:2" x14ac:dyDescent="0.25">
      <c r="A8" t="s">
        <v>5</v>
      </c>
      <c r="B8" s="5">
        <v>0.13149155178292202</v>
      </c>
    </row>
    <row r="9" spans="1:2" x14ac:dyDescent="0.25">
      <c r="A9" t="s">
        <v>6</v>
      </c>
      <c r="B9" s="5">
        <v>0.02125496438207295</v>
      </c>
    </row>
    <row r="10" spans="1:3" x14ac:dyDescent="0.25">
      <c r="A10" t="s">
        <v>7</v>
      </c>
      <c r="B10" s="5">
        <v>0.04301726090764685</v>
      </c>
      <c r="C10" s="6" t="s">
        <v>8</v>
      </c>
    </row>
    <row r="11" spans="1:2" x14ac:dyDescent="0.25">
      <c r="A11" t="s">
        <v>9</v>
      </c>
      <c r="B11" s="5">
        <v>0.37554916360515944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0.10228896783958946</v>
      </c>
      <c r="C14" s="6" t="s">
        <v>13</v>
      </c>
    </row>
    <row r="15" spans="1:3" x14ac:dyDescent="0.25">
      <c r="A15" t="s">
        <v>14</v>
      </c>
      <c r="B15" s="5">
        <v>0.02125496438207295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1.3135599999999998</v>
      </c>
      <c r="C19" s="6" t="s">
        <v>21</v>
      </c>
    </row>
    <row r="20" spans="1:2" x14ac:dyDescent="0.25">
      <c r="A20" t="s">
        <v>22</v>
      </c>
      <c r="B20" s="9">
        <f>B17+B19*B18</f>
        <v>0.104503588</v>
      </c>
    </row>
    <row r="21" spans="1:3" x14ac:dyDescent="0.25">
      <c r="A21" t="s">
        <v>23</v>
      </c>
      <c r="B21" s="5">
        <v>0.07162749265012146</v>
      </c>
      <c r="C21" s="6" t="s">
        <v>24</v>
      </c>
    </row>
    <row r="22" spans="1:2" x14ac:dyDescent="0.25">
      <c r="A22" t="s">
        <v>25</v>
      </c>
      <c r="B22" s="10">
        <v>34560831488</v>
      </c>
    </row>
    <row r="23" spans="1:2" x14ac:dyDescent="0.25">
      <c r="A23" t="s">
        <v>26</v>
      </c>
      <c r="B23" s="10">
        <v>1909664000</v>
      </c>
    </row>
    <row r="24" spans="1:2" x14ac:dyDescent="0.25">
      <c r="A24" t="s">
        <v>27</v>
      </c>
      <c r="B24" s="9">
        <f>B22/(B22+B23)</f>
        <v>0.9476381120012931</v>
      </c>
    </row>
    <row r="25" spans="1:2" x14ac:dyDescent="0.25">
      <c r="A25" t="s">
        <v>28</v>
      </c>
      <c r="B25" s="9">
        <f>1-B24</f>
        <v>0.05236188799870689</v>
      </c>
    </row>
    <row r="26" spans="1:2" x14ac:dyDescent="0.25">
      <c r="A26" t="s">
        <v>29</v>
      </c>
      <c r="B26" s="11">
        <f>B24*B20+B25*B21*(1-B8)</f>
        <v>0.10228896783958946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2779536000</v>
      </c>
      <c r="C29" s="6" t="s">
        <v>32</v>
      </c>
    </row>
    <row r="30" spans="1:2" x14ac:dyDescent="0.25">
      <c r="A30" t="s">
        <v>33</v>
      </c>
      <c r="B30" s="10">
        <v>175887000</v>
      </c>
    </row>
    <row r="31" spans="1:2" x14ac:dyDescent="0.25">
      <c r="A31" t="s">
        <v>34</v>
      </c>
      <c r="B31" s="12">
        <v>82370000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0.33353630246199373</v>
      </c>
      <c r="C5" s="5">
        <v>0.29470509803755673</v>
      </c>
      <c r="D5" s="5">
        <v>0.26099196078286213</v>
      </c>
      <c r="E5" s="5">
        <v>0.22727882352816756</v>
      </c>
      <c r="F5" s="5">
        <v>0.19356568627347298</v>
      </c>
      <c r="G5" s="5">
        <v>0.15985254901877838</v>
      </c>
      <c r="H5" s="5">
        <v>0.12613941176408378</v>
      </c>
      <c r="I5" s="5">
        <v>0.0924262745093892</v>
      </c>
      <c r="J5" s="5">
        <v>0.058713137254694625</v>
      </c>
      <c r="K5" s="5">
        <v>0.025000000000000022</v>
      </c>
    </row>
    <row r="6" spans="1:11" x14ac:dyDescent="0.25">
      <c r="A6" t="s">
        <v>50</v>
      </c>
      <c r="B6" s="18">
        <f>Assumptions!B29*(1+B5)</f>
        <v>3706612160</v>
      </c>
      <c r="C6" s="18">
        <f>B6*(1+C5)</f>
        <v>4798969660</v>
      </c>
      <c r="D6" s="18">
        <f>C6*(1+D5)</f>
        <v>6051462161.300865</v>
      </c>
      <c r="E6" s="18">
        <f>D6*(1+E5)</f>
        <v>7426831361.9465475</v>
      </c>
      <c r="F6" s="18">
        <f>E6*(1+F5)</f>
        <v>8864411071.359083</v>
      </c>
      <c r="G6" s="18">
        <f>F6*(1+G5)</f>
        <v>10281409776.666113</v>
      </c>
      <c r="H6" s="18">
        <f>G6*(1+H5)</f>
        <v>11578300758.000277</v>
      </c>
      <c r="I6" s="18">
        <f>H6*(1+I5)</f>
        <v>12648439962.211477</v>
      </c>
      <c r="J6" s="18">
        <f>I6*(1+J5)</f>
        <v>13391069553.770565</v>
      </c>
      <c r="K6" s="18">
        <f>J6*(1+K5)</f>
        <v>13725846292.614828</v>
      </c>
    </row>
    <row r="7" spans="1:11" x14ac:dyDescent="0.25">
      <c r="A7" t="s">
        <v>4</v>
      </c>
      <c r="B7" s="9">
        <f>Assumptions!B7</f>
        <v>0.04614832661757859</v>
      </c>
      <c r="C7" s="9">
        <f>Assumptions!B7</f>
        <v>0.04614832661757859</v>
      </c>
      <c r="D7" s="9">
        <f>Assumptions!B7</f>
        <v>0.04614832661757859</v>
      </c>
      <c r="E7" s="9">
        <f>Assumptions!B7</f>
        <v>0.04614832661757859</v>
      </c>
      <c r="F7" s="9">
        <f>Assumptions!B7</f>
        <v>0.04614832661757859</v>
      </c>
      <c r="G7" s="9">
        <f>Assumptions!B7</f>
        <v>0.04614832661757859</v>
      </c>
      <c r="H7" s="9">
        <f>Assumptions!B7</f>
        <v>0.04614832661757859</v>
      </c>
      <c r="I7" s="9">
        <f>Assumptions!B7</f>
        <v>0.04614832661757859</v>
      </c>
      <c r="J7" s="9">
        <f>Assumptions!B7</f>
        <v>0.04614832661757859</v>
      </c>
      <c r="K7" s="9">
        <f>Assumptions!B7</f>
        <v>0.04614832661757859</v>
      </c>
    </row>
    <row r="8" spans="1:11" x14ac:dyDescent="0.25">
      <c r="A8" t="s">
        <v>51</v>
      </c>
      <c r="B8" s="18">
        <f>B6*B7</f>
        <v>171053948.60436848</v>
      </c>
      <c r="C8" s="18">
        <f>C6*C7</f>
        <v>221464419.29753008</v>
      </c>
      <c r="D8" s="18">
        <f>D6*D7</f>
        <v>279264852.3336304</v>
      </c>
      <c r="E8" s="18">
        <f>E6*E7</f>
        <v>342735839.4247853</v>
      </c>
      <c r="F8" s="18">
        <f>F6*F7</f>
        <v>409077737.39355874</v>
      </c>
      <c r="G8" s="18">
        <f>G6*G7</f>
        <v>474469856.46275353</v>
      </c>
      <c r="H8" s="18">
        <f>H6*H7</f>
        <v>534319205.0567545</v>
      </c>
      <c r="I8" s="18">
        <f>I6*I7</f>
        <v>583704338.5789686</v>
      </c>
      <c r="J8" s="18">
        <f>J6*J7</f>
        <v>617975451.5261164</v>
      </c>
      <c r="K8" s="18">
        <f>K6*K7</f>
        <v>633424837.8142693</v>
      </c>
    </row>
    <row r="9" spans="1:11" x14ac:dyDescent="0.25">
      <c r="A9" t="s">
        <v>52</v>
      </c>
      <c r="B9" s="18">
        <f>B8*(1-Assumptions!B8)</f>
        <v>148561799.46378386</v>
      </c>
      <c r="C9" s="18">
        <f>C8*(1-Assumptions!B8)</f>
        <v>192343719.13939413</v>
      </c>
      <c r="D9" s="18">
        <f>D8*(1-Assumptions!B8)</f>
        <v>242543883.54185274</v>
      </c>
      <c r="E9" s="18">
        <f>E8*(1-Assumptions!B8)</f>
        <v>297668972.0471979</v>
      </c>
      <c r="F9" s="18">
        <f>F8*(1-Assumptions!B8)</f>
        <v>355287470.90383303</v>
      </c>
      <c r="G9" s="18">
        <f>G8*(1-Assumptions!B8)</f>
        <v>412081078.7622458</v>
      </c>
      <c r="H9" s="18">
        <f>H8*(1-Assumptions!B8)</f>
        <v>464060743.63642454</v>
      </c>
      <c r="I9" s="18">
        <f>I8*(1-Assumptions!B8)</f>
        <v>506952149.31679595</v>
      </c>
      <c r="J9" s="18">
        <f>J8*(1-Assumptions!B8)</f>
        <v>536716900.4411954</v>
      </c>
      <c r="K9" s="18">
        <f>K8*(1-Assumptions!B8)</f>
        <v>550134822.9522253</v>
      </c>
    </row>
    <row r="10" spans="1:11" x14ac:dyDescent="0.25">
      <c r="A10" t="s">
        <v>53</v>
      </c>
      <c r="B10" s="18">
        <f>B6*Assumptions!B9</f>
        <v>78783909.43895848</v>
      </c>
      <c r="C10" s="18">
        <f>C6*Assumptions!B9</f>
        <v>102001929.19394875</v>
      </c>
      <c r="D10" s="18">
        <f>D6*Assumptions!B9</f>
        <v>128623612.69791208</v>
      </c>
      <c r="E10" s="18">
        <f>E6*Assumptions!B9</f>
        <v>157857036.0698362</v>
      </c>
      <c r="F10" s="18">
        <f>F6*Assumptions!B9</f>
        <v>188412741.58979043</v>
      </c>
      <c r="G10" s="18">
        <f>G6*Assumptions!B9</f>
        <v>218530998.60053486</v>
      </c>
      <c r="H10" s="18">
        <f>H6*Assumptions!B9</f>
        <v>246096370.21622413</v>
      </c>
      <c r="I10" s="18">
        <f>I6*Assumptions!B9</f>
        <v>268842140.8855931</v>
      </c>
      <c r="J10" s="18">
        <f>J6*Assumptions!B9</f>
        <v>284626706.40325487</v>
      </c>
      <c r="K10" s="18">
        <f>K6*Assumptions!B9</f>
        <v>291742374.06333625</v>
      </c>
    </row>
    <row r="11" spans="1:11" x14ac:dyDescent="0.25">
      <c r="A11" t="s">
        <v>54</v>
      </c>
      <c r="B11" s="18">
        <f>-B6*B19</f>
        <v>-159448302.37017643</v>
      </c>
      <c r="C11" s="18">
        <f>-C6*C19</f>
        <v>-200057784.15168557</v>
      </c>
      <c r="D11" s="18">
        <f>-D6*D19</f>
        <v>-244225188.3491854</v>
      </c>
      <c r="E11" s="18">
        <f>-E6*E19</f>
        <v>-289857631.5427256</v>
      </c>
      <c r="F11" s="18">
        <f>-F6*F19</f>
        <v>-334177935.9354334</v>
      </c>
      <c r="G11" s="18">
        <f>-G6*G19</f>
        <v>-373926891.81036377</v>
      </c>
      <c r="H11" s="18">
        <f>-H6*H19</f>
        <v>-405699215.0684936</v>
      </c>
      <c r="I11" s="18">
        <f>-I6*I19</f>
        <v>-426379022.11524117</v>
      </c>
      <c r="J11" s="18">
        <f>-J6*J19</f>
        <v>-433608206.35410464</v>
      </c>
      <c r="K11" s="18">
        <f>-K6*K19</f>
        <v>-426198424.0586182</v>
      </c>
    </row>
    <row r="12" spans="1:11" x14ac:dyDescent="0.25">
      <c r="A12" t="s">
        <v>55</v>
      </c>
      <c r="B12" s="18">
        <f>-(B6-Assumptions!B29)*Assumptions!B11</f>
        <v>-348162676.48628294</v>
      </c>
      <c r="C12" s="18">
        <f>-(C6-B6)*Assumptions!B11</f>
        <v>-410233945.48282295</v>
      </c>
      <c r="D12" s="18">
        <f>-(D6-C6)*Assumptions!B11</f>
        <v>-470372511.28527397</v>
      </c>
      <c r="E12" s="18">
        <f>-(E6-D6)*Assumptions!B11</f>
        <v>-516518752.9507827</v>
      </c>
      <c r="F12" s="18">
        <f>-(F6-E6)*Assumptions!B11</f>
        <v>-539881857.485626</v>
      </c>
      <c r="G12" s="18">
        <f>-(G6-F6)*Assumptions!B11</f>
        <v>-532152678.6076488</v>
      </c>
      <c r="H12" s="18">
        <f>-(H6-G6)*Assumptions!B11</f>
        <v>-487046323.3271196</v>
      </c>
      <c r="I12" s="18">
        <f>-(I6-H6)*Assumptions!B11</f>
        <v>-401889883.0826073</v>
      </c>
      <c r="J12" s="18">
        <f>-(J6-I6)*Assumptions!B11</f>
        <v>-278893921.97845656</v>
      </c>
      <c r="K12" s="18">
        <f>-(K6-J6)*Assumptions!B11</f>
        <v>-125725124.2674259</v>
      </c>
    </row>
    <row r="13" spans="1:11" x14ac:dyDescent="0.25">
      <c r="A13" s="19" t="s">
        <v>56</v>
      </c>
      <c r="B13" s="20">
        <f>B9+B10+B11+B12</f>
        <v>-280265269.95371705</v>
      </c>
      <c r="C13" s="20">
        <f>C9+C10+C11+C12</f>
        <v>-315946081.3011656</v>
      </c>
      <c r="D13" s="20">
        <f>D9+D10+D11+D12</f>
        <v>-343430203.39469457</v>
      </c>
      <c r="E13" s="20">
        <f>E9+E10+E11+E12</f>
        <v>-350850376.37647426</v>
      </c>
      <c r="F13" s="20">
        <f>F9+F10+F11+F12</f>
        <v>-330359580.9274359</v>
      </c>
      <c r="G13" s="20">
        <f>G9+G10+G11+G12</f>
        <v>-275467493.055232</v>
      </c>
      <c r="H13" s="20">
        <f>H9+H10+H11+H12</f>
        <v>-182588424.54296446</v>
      </c>
      <c r="I13" s="20">
        <f>I9+I10+I11+I12</f>
        <v>-52474614.9954595</v>
      </c>
      <c r="J13" s="20">
        <f>J9+J10+J11+J12</f>
        <v>108841478.51188904</v>
      </c>
      <c r="K13" s="20">
        <f>K9+K10+K11+K12</f>
        <v>289953648.6895175</v>
      </c>
    </row>
    <row r="14" spans="1:11" x14ac:dyDescent="0.25">
      <c r="A14" t="s">
        <v>57</v>
      </c>
      <c r="B14" s="21">
        <f>1/(1+Assumptions!$B$26)^(1-0.5*Assumptions!$B$32)</f>
        <v>0.9524721142256221</v>
      </c>
      <c r="C14" s="21">
        <f>1/(1+Assumptions!$B$26)^(2-0.5*Assumptions!$B$32)</f>
        <v>0.8640856817177458</v>
      </c>
      <c r="D14" s="21">
        <f>1/(1+Assumptions!$B$26)^(3-0.5*Assumptions!$B$32)</f>
        <v>0.7839012336404801</v>
      </c>
      <c r="E14" s="21">
        <f>1/(1+Assumptions!$B$26)^(4-0.5*Assumptions!$B$32)</f>
        <v>0.7111576514975675</v>
      </c>
      <c r="F14" s="21">
        <f>1/(1+Assumptions!$B$26)^(5-0.5*Assumptions!$B$32)</f>
        <v>0.6451644462081368</v>
      </c>
      <c r="G14" s="21">
        <f>1/(1+Assumptions!$B$26)^(6-0.5*Assumptions!$B$32)</f>
        <v>0.5852952039179116</v>
      </c>
      <c r="H14" s="21">
        <f>1/(1+Assumptions!$B$26)^(7-0.5*Assumptions!$B$32)</f>
        <v>0.5309816400186331</v>
      </c>
      <c r="I14" s="21">
        <f>1/(1+Assumptions!$B$26)^(8-0.5*Assumptions!$B$32)</f>
        <v>0.4817082049358804</v>
      </c>
      <c r="J14" s="21">
        <f>1/(1+Assumptions!$B$26)^(9-0.5*Assumptions!$B$32)</f>
        <v>0.43700719048290515</v>
      </c>
      <c r="K14" s="21">
        <f>1/(1+Assumptions!$B$26)^(10-0.5*Assumptions!$B$32)</f>
        <v>0.39645429032952145</v>
      </c>
    </row>
    <row r="15" spans="1:11" x14ac:dyDescent="0.25">
      <c r="A15" s="19" t="s">
        <v>58</v>
      </c>
      <c r="B15" s="20">
        <f>B13*B14</f>
        <v>-266944854.2168316</v>
      </c>
      <c r="C15" s="20">
        <f>C13*C14</f>
        <v>-273004485.047168</v>
      </c>
      <c r="D15" s="20">
        <f>D13*D14</f>
        <v>-269215360.11050206</v>
      </c>
      <c r="E15" s="20">
        <f>E13*E14</f>
        <v>-249509929.69093108</v>
      </c>
      <c r="F15" s="20">
        <f>F13*F14</f>
        <v>-213136256.07860133</v>
      </c>
      <c r="G15" s="20">
        <f>G13*G14</f>
        <v>-161229802.5205179</v>
      </c>
      <c r="H15" s="20">
        <f>H13*H14</f>
        <v>-96951101.11224172</v>
      </c>
      <c r="I15" s="20">
        <f>I13*I14</f>
        <v>-25277452.594164226</v>
      </c>
      <c r="J15" s="20">
        <f>J13*J14</f>
        <v>47564508.73248612</v>
      </c>
      <c r="K15" s="20">
        <f>K13*K14</f>
        <v>114953368.01965804</v>
      </c>
    </row>
    <row r="17" spans="1:2" x14ac:dyDescent="0.25">
      <c r="A17" s="22" t="s">
        <v>59</v>
      </c>
      <c r="B17" s="23">
        <f>SUM(B15:K15)</f>
        <v>-1392751364.6188138</v>
      </c>
    </row>
    <row r="19" spans="1:11" x14ac:dyDescent="0.25">
      <c r="A19" t="s">
        <v>7</v>
      </c>
      <c r="B19" s="9">
        <f>Assumptions!$B$10+($B$20-Assumptions!$B$10)*0/9</f>
        <v>0.04301726090764685</v>
      </c>
      <c r="C19" s="9">
        <f>Assumptions!$B$10+($B$20-Assumptions!$B$10)*1/9</f>
        <v>0.04168765346011493</v>
      </c>
      <c r="D19" s="9">
        <f>Assumptions!$B$10+($B$20-Assumptions!$B$10)*2/9</f>
        <v>0.04035804601258302</v>
      </c>
      <c r="E19" s="9">
        <f>Assumptions!$B$10+($B$20-Assumptions!$B$10)*3/9</f>
        <v>0.0390284385650511</v>
      </c>
      <c r="F19" s="9">
        <f>Assumptions!$B$10+($B$20-Assumptions!$B$10)*4/9</f>
        <v>0.037698831117519184</v>
      </c>
      <c r="G19" s="9">
        <f>Assumptions!$B$10+($B$20-Assumptions!$B$10)*5/9</f>
        <v>0.03636922366998727</v>
      </c>
      <c r="H19" s="9">
        <f>Assumptions!$B$10+($B$20-Assumptions!$B$10)*6/9</f>
        <v>0.035039616222455355</v>
      </c>
      <c r="I19" s="9">
        <f>Assumptions!$B$10+($B$20-Assumptions!$B$10)*7/9</f>
        <v>0.03371000877492344</v>
      </c>
      <c r="J19" s="9">
        <f>Assumptions!$B$10+($B$20-Assumptions!$B$10)*8/9</f>
        <v>0.03238040132739153</v>
      </c>
      <c r="K19" s="9">
        <f>Assumptions!$B$10+($B$20-Assumptions!$B$10)*9/9</f>
        <v>0.03105079387985961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0.03105079387985961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289953648.6895175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550134822.9522253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0.24440563364766024</v>
      </c>
    </row>
    <row r="7" spans="1:2" x14ac:dyDescent="0.25">
      <c r="A7" t="s">
        <v>66</v>
      </c>
      <c r="B7" s="18">
        <f>-MAX(B5,0)*B6</f>
        <v>-134456049.99528202</v>
      </c>
    </row>
    <row r="8" spans="1:2" x14ac:dyDescent="0.25">
      <c r="A8" t="s">
        <v>67</v>
      </c>
      <c r="B8" s="18">
        <f>IF(OR(Assumptions!$B$33=0,Assumptions!B12&lt;=0),B5,MAX(B5+B7,0))</f>
        <v>415678772.9569433</v>
      </c>
    </row>
    <row r="9" spans="1:2" x14ac:dyDescent="0.25">
      <c r="A9" t="s">
        <v>68</v>
      </c>
      <c r="B9" s="18">
        <f>B8*(1+Assumptions!B12)/(Assumptions!B26-Assumptions!B12)</f>
        <v>5512698049.8065605</v>
      </c>
    </row>
    <row r="10" spans="1:2" x14ac:dyDescent="0.25">
      <c r="A10" t="s">
        <v>69</v>
      </c>
      <c r="B10" s="18">
        <f>B9/(1+Assumptions!B26)^(10-0.5*Assumptions!B32)</f>
        <v>2185532793.1369967</v>
      </c>
    </row>
    <row r="11" spans="1:2" x14ac:dyDescent="0.25">
      <c r="A11" t="s">
        <v>70</v>
      </c>
      <c r="B11" s="18">
        <f>Forecast!B17+B10</f>
        <v>792781428.518183</v>
      </c>
    </row>
    <row r="12" spans="1:2" x14ac:dyDescent="0.25">
      <c r="A12" t="s">
        <v>71</v>
      </c>
      <c r="B12" s="18">
        <f>-Assumptions!B30</f>
        <v>-175887000</v>
      </c>
    </row>
    <row r="13" spans="1:2" x14ac:dyDescent="0.25">
      <c r="A13" t="s">
        <v>72</v>
      </c>
      <c r="B13" s="18">
        <f>B11+B12</f>
        <v>616894428.518183</v>
      </c>
    </row>
    <row r="14" spans="1:2" x14ac:dyDescent="0.25">
      <c r="A14" s="19" t="s">
        <v>73</v>
      </c>
      <c r="B14" s="24">
        <f>B13/Assumptions!B31</f>
        <v>7.489309560740354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925167211.8776056</v>
      </c>
    </row>
    <row r="18" spans="1:2" x14ac:dyDescent="0.25">
      <c r="A18" t="s">
        <v>68</v>
      </c>
      <c r="B18" s="18">
        <f>B17*Assumptions!B13</f>
        <v>18503344237.552113</v>
      </c>
    </row>
    <row r="19" spans="1:2" x14ac:dyDescent="0.25">
      <c r="A19" t="s">
        <v>69</v>
      </c>
      <c r="B19" s="18">
        <f>B18/(1+Assumptions!B26)^(10-0.5*Assumptions!B32)</f>
        <v>7335730208.421563</v>
      </c>
    </row>
    <row r="20" spans="1:2" x14ac:dyDescent="0.25">
      <c r="A20" t="s">
        <v>70</v>
      </c>
      <c r="B20" s="18">
        <f>Forecast!B17+B19</f>
        <v>5942978843.80275</v>
      </c>
    </row>
    <row r="21" spans="1:2" x14ac:dyDescent="0.25">
      <c r="A21" t="s">
        <v>71</v>
      </c>
      <c r="B21" s="18">
        <f>-Assumptions!B30</f>
        <v>-175887000</v>
      </c>
    </row>
    <row r="22" spans="1:2" x14ac:dyDescent="0.25">
      <c r="A22" t="s">
        <v>72</v>
      </c>
      <c r="B22" s="18">
        <f>B20+B21</f>
        <v>5767091843.80275</v>
      </c>
    </row>
    <row r="23" spans="1:2" x14ac:dyDescent="0.25">
      <c r="A23" s="19" t="s">
        <v>73</v>
      </c>
      <c r="B23" s="25">
        <f>B22/Assumptions!B31</f>
        <v>70.01446939180222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425.43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7.489309560740354</v>
      </c>
    </row>
    <row r="29" spans="1:2" x14ac:dyDescent="0.25">
      <c r="A29" s="19" t="s">
        <v>81</v>
      </c>
      <c r="B29" s="11">
        <f>B28/B26-1</f>
        <v>-0.9823959063518314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0.082289</v>
      </c>
      <c r="B5" s="31">
        <v>20.067715509584456</v>
      </c>
      <c r="C5" s="31">
        <v>19.297748567852516</v>
      </c>
      <c r="D5" s="31">
        <v>18.527781626120564</v>
      </c>
      <c r="E5" s="31">
        <v>17.75781468438862</v>
      </c>
      <c r="F5" s="31">
        <v>16.98784774265665</v>
      </c>
    </row>
    <row r="6" spans="1:6" x14ac:dyDescent="0.25">
      <c r="A6" s="30">
        <v>0.092289</v>
      </c>
      <c r="B6" s="31">
        <v>13.562533907824342</v>
      </c>
      <c r="C6" s="31">
        <v>12.914818516641192</v>
      </c>
      <c r="D6" s="31">
        <v>12.267103125458032</v>
      </c>
      <c r="E6" s="31">
        <v>11.619387734274872</v>
      </c>
      <c r="F6" s="31">
        <v>10.971672343091717</v>
      </c>
    </row>
    <row r="7" spans="1:6" x14ac:dyDescent="0.25">
      <c r="A7" s="30">
        <v>0.102289</v>
      </c>
      <c r="B7" s="31">
        <v>8.592899080611494</v>
      </c>
      <c r="C7" s="31">
        <v>8.041097585020456</v>
      </c>
      <c r="D7" s="32">
        <v>7.489296089429414</v>
      </c>
      <c r="E7" s="31">
        <v>6.9374945938383705</v>
      </c>
      <c r="F7" s="31">
        <v>6.385693098247325</v>
      </c>
    </row>
    <row r="8" spans="1:6" x14ac:dyDescent="0.25">
      <c r="A8" s="30">
        <v>0.112289</v>
      </c>
      <c r="B8" s="31">
        <v>4.728347322520345</v>
      </c>
      <c r="C8" s="31">
        <v>4.253336673267718</v>
      </c>
      <c r="D8" s="31">
        <v>3.7783260240151</v>
      </c>
      <c r="E8" s="31">
        <v>3.3033153747624793</v>
      </c>
      <c r="F8" s="31">
        <v>2.828304725509858</v>
      </c>
    </row>
    <row r="9" spans="1:6" x14ac:dyDescent="0.25">
      <c r="A9" s="30">
        <v>0.122289</v>
      </c>
      <c r="B9" s="31">
        <v>1.6809615055989189</v>
      </c>
      <c r="C9" s="31">
        <v>1.2684586969369995</v>
      </c>
      <c r="D9" s="31">
        <v>0.8559558882750714</v>
      </c>
      <c r="E9" s="31">
        <v>0.4434530796131521</v>
      </c>
      <c r="F9" s="31">
        <v>0.030950270951232733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2779536000</v>
      </c>
      <c r="C5" s="18">
        <v>2082526000</v>
      </c>
      <c r="D5" s="18">
        <v>1560699000</v>
      </c>
      <c r="E5" s="18">
        <v>1187143000</v>
      </c>
      <c r="F5" s="6" t="s">
        <v>91</v>
      </c>
    </row>
    <row r="6" spans="1:6" x14ac:dyDescent="0.25">
      <c r="A6" t="s">
        <v>51</v>
      </c>
      <c r="B6" s="18">
        <v>-62076000</v>
      </c>
      <c r="C6" s="18">
        <v>58540000</v>
      </c>
      <c r="D6" s="18">
        <v>156850000</v>
      </c>
      <c r="E6" s="18">
        <v>92973000</v>
      </c>
      <c r="F6" s="6" t="s">
        <v>92</v>
      </c>
    </row>
    <row r="7" spans="1:6" x14ac:dyDescent="0.25">
      <c r="A7" t="s">
        <v>93</v>
      </c>
      <c r="B7" s="18">
        <v>83161000</v>
      </c>
      <c r="C7" s="18">
        <v>48425000</v>
      </c>
      <c r="D7" s="18">
        <v>19315000</v>
      </c>
      <c r="E7" s="18">
        <v>23116000</v>
      </c>
      <c r="F7" s="6" t="s">
        <v>94</v>
      </c>
    </row>
    <row r="8" spans="1:6" x14ac:dyDescent="0.25">
      <c r="A8" t="s">
        <v>95</v>
      </c>
      <c r="B8" s="18">
        <v>136258000</v>
      </c>
      <c r="C8" s="18">
        <v>78785000</v>
      </c>
      <c r="D8" s="18">
        <v>59635000</v>
      </c>
      <c r="E8" s="18">
        <v>55802000</v>
      </c>
      <c r="F8" s="6" t="s">
        <v>96</v>
      </c>
    </row>
    <row r="9" spans="1:6" x14ac:dyDescent="0.25">
      <c r="A9" t="s">
        <v>97</v>
      </c>
      <c r="B9" s="18">
        <v>481744000</v>
      </c>
      <c r="C9" s="18">
        <v>72688000</v>
      </c>
      <c r="D9" s="18">
        <v>124818000</v>
      </c>
      <c r="E9" s="18">
        <v>-19331000</v>
      </c>
      <c r="F9" s="6" t="s">
        <v>98</v>
      </c>
    </row>
    <row r="10" spans="1:6" x14ac:dyDescent="0.25">
      <c r="A10" t="s">
        <v>99</v>
      </c>
      <c r="B10" s="18">
        <v>1909664000</v>
      </c>
      <c r="C10" s="18">
        <v>721672000</v>
      </c>
      <c r="D10" s="18">
        <v>710663000</v>
      </c>
      <c r="E10" s="18">
        <v>711110000</v>
      </c>
      <c r="F10" s="6" t="s">
        <v>100</v>
      </c>
    </row>
    <row r="11" spans="1:6" x14ac:dyDescent="0.25">
      <c r="A11" t="s">
        <v>101</v>
      </c>
      <c r="B11" s="18">
        <v>1733777000</v>
      </c>
      <c r="C11" s="18">
        <v>986349000</v>
      </c>
      <c r="D11" s="18">
        <v>1320539000</v>
      </c>
      <c r="E11" s="18">
        <v>974693000</v>
      </c>
      <c r="F11" s="6" t="s">
        <v>102</v>
      </c>
    </row>
    <row r="12" spans="1:6" x14ac:dyDescent="0.25">
      <c r="A12" t="s">
        <v>34</v>
      </c>
      <c r="B12" s="34">
        <v>82370000</v>
      </c>
      <c r="C12" s="34">
        <v>78558000</v>
      </c>
      <c r="D12" s="34">
        <v>75456000</v>
      </c>
      <c r="E12" s="34">
        <v>72534000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54" customHeight="1" spans="1:6" x14ac:dyDescent="0.25">
      <c r="A18" s="35" t="s">
        <v>107</v>
      </c>
      <c r="B18" s="35"/>
      <c r="C18" s="35"/>
      <c r="D18" s="35"/>
      <c r="E18" s="35"/>
      <c r="F18" s="35"/>
    </row>
    <row r="19" ht="38" customHeight="1" spans="1:6" x14ac:dyDescent="0.25">
      <c r="A19" s="35" t="s">
        <v>108</v>
      </c>
      <c r="B19" s="35"/>
      <c r="C19" s="35"/>
      <c r="D19" s="35"/>
      <c r="E19" s="35"/>
      <c r="F19" s="35"/>
    </row>
    <row r="21" spans="1:1" x14ac:dyDescent="0.25">
      <c r="A21" s="36" t="s">
        <v>109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