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<sst xmlns="http://schemas.openxmlformats.org/spreadsheetml/2006/main" count="70" uniqueCount="67">
  <si>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American Express Company (AXP)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</si>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</sst>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1.05695</v>
      </c>
    </row>
    <row r="9" spans="1:2" x14ac:dyDescent="0.25">
      <c r="A9" t="s">
        <v>8</v>
      </c>
      <c r="B9" s="8">
        <f>B6+B8*B7</f>
        <v>0.093648985</v>
      </c>
    </row>
    <row r="10" spans="1:2" x14ac:dyDescent="0.25">
      <c r="A10" t="s">
        <v>9</v>
      </c>
      <c r="B10" s="8">
        <f>MEDIAN('Source data'!B9:E9)</f>
        <v>0.353588421887391</v>
      </c>
    </row>
    <row r="11" spans="1:2" x14ac:dyDescent="0.25">
      <c r="A11" t="s">
        <v>10</v>
      </c>
      <c r="B11" s="8">
        <f>IFERROR(MIN(MAX(MEDIAN('Source data'!B10:E10),0),1),0)</f>
        <v>0.21222315671432576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33474000000</v>
      </c>
    </row>
    <row r="15" spans="1:2" x14ac:dyDescent="0.25">
      <c r="A15" t="s">
        <v>14</v>
      </c>
      <c r="B15" s="10">
        <f>'Source data'!B8</f>
        <v>696000000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0.2</v>
      </c>
    </row>
    <row r="18" spans="1:2" x14ac:dyDescent="0.25">
      <c r="A18" t="s">
        <v>17</v>
      </c>
      <c r="B18" s="8">
        <f>MIN(B10,B12)</f>
        <v>0.2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0.33822957969865186</v>
      </c>
      <c r="C22" s="8">
        <f>$B$10+($B$18-$B$10)*C21/$B$16</f>
        <v>0.3228707375099128</v>
      </c>
      <c r="D22" s="8">
        <f>$B$10+($B$18-$B$10)*D21/$B$16</f>
        <v>0.3075118953211737</v>
      </c>
      <c r="E22" s="8">
        <f>$B$10+($B$18-$B$10)*E21/$B$16</f>
        <v>0.29215305313243456</v>
      </c>
      <c r="F22" s="8">
        <f>$B$10+($B$18-$B$10)*F21/$B$16</f>
        <v>0.2767942109436955</v>
      </c>
      <c r="G22" s="8">
        <f>$B$10+($B$18-$B$10)*G21/$B$16</f>
        <v>0.26143536875495643</v>
      </c>
      <c r="H22" s="8">
        <f>$B$10+($B$18-$B$10)*H21/$B$16</f>
        <v>0.2460765265662173</v>
      </c>
      <c r="I22" s="8">
        <f>$B$10+($B$18-$B$10)*I21/$B$16</f>
        <v>0.2307176843774782</v>
      </c>
      <c r="J22" s="8">
        <f>$B$10+($B$18-$B$10)*J21/$B$16</f>
        <v>0.2153588421887391</v>
      </c>
      <c r="K22" s="8">
        <f>$B$10+($B$18-$B$10)*K21/$B$16</f>
        <v>0.2</v>
      </c>
    </row>
    <row r="23" spans="1:11" x14ac:dyDescent="0.25">
      <c r="A23" t="s">
        <v>31</v>
      </c>
      <c r="B23" s="8">
        <f>$B$17+($B$13-$B$17)*B21/$B$16</f>
        <v>0.1825</v>
      </c>
      <c r="C23" s="8">
        <f>$B$17+($B$13-$B$17)*C21/$B$16</f>
        <v>0.165</v>
      </c>
      <c r="D23" s="8">
        <f>$B$17+($B$13-$B$17)*D21/$B$16</f>
        <v>0.14750000000000002</v>
      </c>
      <c r="E23" s="8">
        <f>$B$17+($B$13-$B$17)*E21/$B$16</f>
        <v>0.13</v>
      </c>
      <c r="F23" s="8">
        <f>$B$17+($B$13-$B$17)*F21/$B$16</f>
        <v>0.1125</v>
      </c>
      <c r="G23" s="8">
        <f>$B$17+($B$13-$B$17)*G21/$B$16</f>
        <v>0.095</v>
      </c>
      <c r="H23" s="8">
        <f>$B$17+($B$13-$B$17)*H21/$B$16</f>
        <v>0.07750000000000001</v>
      </c>
      <c r="I23" s="8">
        <f>$B$17+($B$13-$B$17)*I21/$B$16</f>
        <v>0.06</v>
      </c>
      <c r="J23" s="8">
        <f>$B$17+($B$13-$B$17)*J21/$B$16</f>
        <v>0.04249999999999998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33474000000</v>
      </c>
      <c r="C24" s="9">
        <f>B24*(1+B23)</f>
        <v>39583004999.99999</v>
      </c>
      <c r="D24" s="9">
        <f>C24*(1+C23)</f>
        <v>46114200824.99999</v>
      </c>
      <c r="E24" s="9">
        <f>D24*(1+D23)</f>
        <v>52916045446.68749</v>
      </c>
      <c r="F24" s="9">
        <f>E24*(1+E23)</f>
        <v>59795131354.75686</v>
      </c>
      <c r="G24" s="9">
        <f>F24*(1+F23)</f>
        <v>66522083632.16701</v>
      </c>
      <c r="H24" s="9">
        <f>G24*(1+G23)</f>
        <v>72841681577.22287</v>
      </c>
      <c r="I24" s="9">
        <f>H24*(1+H23)</f>
        <v>78486911899.45764</v>
      </c>
      <c r="J24" s="9">
        <f>I24*(1+I23)</f>
        <v>83196126613.42511</v>
      </c>
      <c r="K24" s="9">
        <f>J24*(1+J23)</f>
        <v>86731961994.49568</v>
      </c>
    </row>
    <row r="25" spans="1:11" x14ac:dyDescent="0.25">
      <c r="A25" t="s">
        <v>33</v>
      </c>
      <c r="B25" s="9">
        <f>(B22-$B$9)*B24</f>
        <v>8187090826.942672</v>
      </c>
      <c r="C25" s="9">
        <f>(C22-$B$9)*C24</f>
        <v>9073285775.70864</v>
      </c>
      <c r="D25" s="9">
        <f>(D22-$B$9)*D24</f>
        <v>9862117195.569567</v>
      </c>
      <c r="E25" s="9">
        <f>(E22-$B$9)*E24</f>
        <v>10504050290.648256</v>
      </c>
      <c r="F25" s="9">
        <f>(F22-$B$9)*F24</f>
        <v>10951192842.299894</v>
      </c>
      <c r="G25" s="9">
        <f>(G22-$B$9)*G24</f>
        <v>11161499852.486078</v>
      </c>
      <c r="H25" s="9">
        <f>(H22-$B$9)*H24</f>
        <v>11103078446.365303</v>
      </c>
      <c r="I25" s="9">
        <f>(I22-$B$9)*I24</f>
        <v>10758098932.213373</v>
      </c>
      <c r="J25" s="9">
        <f>(J22-$B$9)*J24</f>
        <v>10125788688.776226</v>
      </c>
      <c r="K25" s="9">
        <f>(K22-$B$9)*K24</f>
        <v>9224032191.056042</v>
      </c>
    </row>
    <row r="26" spans="1:11" x14ac:dyDescent="0.25">
      <c r="A26" t="s">
        <v>34</v>
      </c>
      <c r="B26" s="14">
        <f>1/(1+$B$9)^B21</f>
        <v>0.9143701623789282</v>
      </c>
      <c r="C26" s="14">
        <f>1/(1+$B$9)^C21</f>
        <v>0.8360727938488677</v>
      </c>
      <c r="D26" s="14">
        <f>1/(1+$B$9)^D21</f>
        <v>0.7644800162721932</v>
      </c>
      <c r="E26" s="14">
        <f>1/(1+$B$9)^E21</f>
        <v>0.6990177166142509</v>
      </c>
      <c r="F26" s="14">
        <f>1/(1+$B$9)^F21</f>
        <v>0.6391609430463203</v>
      </c>
      <c r="G26" s="14">
        <f>1/(1+$B$9)^G21</f>
        <v>0.5844296952795328</v>
      </c>
      <c r="H26" s="14">
        <f>1/(1+$B$9)^H21</f>
        <v>0.5343850753718139</v>
      </c>
      <c r="I26" s="14">
        <f>1/(1+$B$9)^I21</f>
        <v>0.4886257681406013</v>
      </c>
      <c r="J26" s="14">
        <f>1/(1+$B$9)^J21</f>
        <v>0.44678482295725014</v>
      </c>
      <c r="K26" s="14">
        <f>1/(1+$B$9)^K21</f>
        <v>0.40852671111586153</v>
      </c>
    </row>
    <row r="27" spans="1:11" x14ac:dyDescent="0.25">
      <c r="A27" s="15" t="s">
        <v>35</v>
      </c>
      <c r="B27" s="16">
        <f>B25*B26</f>
        <v>7486031568.842605</v>
      </c>
      <c r="C27" s="16">
        <f>C25*C26</f>
        <v>7585927387.885912</v>
      </c>
      <c r="D27" s="16">
        <f>D25*D26</f>
        <v>7539391514.147299</v>
      </c>
      <c r="E27" s="16">
        <f>E25*E26</f>
        <v>7342517249.370203</v>
      </c>
      <c r="F27" s="16">
        <f>F25*F26</f>
        <v>6999574744.566513</v>
      </c>
      <c r="G27" s="16">
        <f>G25*G26</f>
        <v>6523111957.650989</v>
      </c>
      <c r="H27" s="16">
        <f>H25*H26</f>
        <v>5933319412.420085</v>
      </c>
      <c r="I27" s="16">
        <f>I25*I26</f>
        <v>5256684354.485342</v>
      </c>
      <c r="J27" s="16">
        <f>J25*J26</f>
        <v>4524048706.617413</v>
      </c>
      <c r="K27" s="16">
        <f>K25*K26</f>
        <v>3768263534.238959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33474000000</v>
      </c>
    </row>
    <row r="31" spans="1:2" x14ac:dyDescent="0.25">
      <c r="A31" t="s">
        <v>38</v>
      </c>
      <c r="B31" s="9">
        <f>SUM(B27:K27)</f>
        <v>62958870430.22532</v>
      </c>
    </row>
    <row r="32" spans="1:2" x14ac:dyDescent="0.25">
      <c r="A32" t="s">
        <v>39</v>
      </c>
      <c r="B32" s="9">
        <f>K24*(1+K23)</f>
        <v>88900261044.35806</v>
      </c>
    </row>
    <row r="33" spans="1:2" x14ac:dyDescent="0.25">
      <c r="A33" t="s">
        <v>40</v>
      </c>
      <c r="B33" s="9">
        <f>(B18-B9)*B32</f>
        <v>9454632995.832441</v>
      </c>
    </row>
    <row r="34" spans="1:2" x14ac:dyDescent="0.25">
      <c r="A34" t="s">
        <v>41</v>
      </c>
      <c r="B34" s="9">
        <f>B33/(B9-B13)</f>
        <v>137724294042.11063</v>
      </c>
    </row>
    <row r="35" spans="1:2" x14ac:dyDescent="0.25">
      <c r="A35" t="s">
        <v>42</v>
      </c>
      <c r="B35" s="9">
        <f>B34*K26</f>
        <v>56264052885.7773</v>
      </c>
    </row>
    <row r="36" spans="1:2" x14ac:dyDescent="0.25">
      <c r="A36" s="15" t="s">
        <v>43</v>
      </c>
      <c r="B36" s="16">
        <f>B30+B31+B35</f>
        <v>152696923316.00262</v>
      </c>
    </row>
    <row r="37" spans="1:2" x14ac:dyDescent="0.25">
      <c r="A37" s="15" t="s">
        <v>44</v>
      </c>
      <c r="B37" s="17">
        <f>B36/B15</f>
        <v>219.3921312011532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319.11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219.3921312011532</v>
      </c>
    </row>
    <row r="43" spans="1:2" x14ac:dyDescent="0.25">
      <c r="A43" s="15" t="s">
        <v>48</v>
      </c>
      <c r="B43" s="21">
        <f>B42/B40-1</f>
        <v>-0.3124874457047626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10701000000</v>
      </c>
      <c r="C5" s="9">
        <v>9995000000</v>
      </c>
      <c r="D5" s="9">
        <v>8252000000</v>
      </c>
      <c r="E5" s="9">
        <v>7400000000</v>
      </c>
      <c r="F5" s="6" t="s">
        <v>57</v>
      </c>
    </row>
    <row r="6" spans="1:6" x14ac:dyDescent="0.25">
      <c r="A6" t="s">
        <v>37</v>
      </c>
      <c r="B6" s="9">
        <v>33474000000</v>
      </c>
      <c r="C6" s="9">
        <v>30264000000</v>
      </c>
      <c r="D6" s="9">
        <v>28057000000</v>
      </c>
      <c r="E6" s="9">
        <v>24711000000</v>
      </c>
      <c r="F6" s="6" t="s">
        <v>58</v>
      </c>
    </row>
    <row r="7" spans="1:6" x14ac:dyDescent="0.25">
      <c r="A7" t="s">
        <v>59</v>
      </c>
      <c r="B7" s="9">
        <v>2271000000</v>
      </c>
      <c r="C7" s="9">
        <v>1999000000</v>
      </c>
      <c r="D7" s="9">
        <v>1780000000</v>
      </c>
      <c r="E7" s="9">
        <v>1565000000</v>
      </c>
      <c r="F7" s="6" t="s">
        <v>60</v>
      </c>
    </row>
    <row r="8" spans="1:6" x14ac:dyDescent="0.25">
      <c r="A8" t="s">
        <v>14</v>
      </c>
      <c r="B8" s="10">
        <v>696000000</v>
      </c>
      <c r="C8" s="10">
        <v>713000000</v>
      </c>
      <c r="D8" s="10">
        <v>736000000</v>
      </c>
      <c r="E8" s="10">
        <v>752000000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0.353588421887391</v>
      </c>
      <c r="C9" s="8">
        <f>IF(AND(ISNUMBER(C5),N(D6)&gt;0),C5/D6,"")</f>
        <v>0.3562390847203906</v>
      </c>
      <c r="D9" s="8">
        <f>IF(AND(ISNUMBER(D5),N(E6)&gt;0),D5/E6,"")</f>
        <v>0.33394035045121606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0.21222315671432576</v>
      </c>
      <c r="C10" s="8">
        <f>IF(AND(ISNUMBER(C9),N(C5)&gt;0,ISNUMBER(C7)),C7/C5,"")</f>
        <v>0.2</v>
      </c>
      <c r="D10" s="8">
        <f>IF(AND(ISNUMBER(D9),N(D5)&gt;0,ISNUMBER(D7)),D7/D5,"")</f>
        <v>0.21570528356761998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