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<sst xmlns="http://schemas.openxmlformats.org/spreadsheetml/2006/main" count="112" uniqueCount="100">
  <si>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Aurizon Holdings Limited (AZJ.AX)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</si>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</sst>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0.06611600795114447</v>
      </c>
    </row>
    <row r="7" spans="1:2" x14ac:dyDescent="0.25">
      <c r="A7" t="s">
        <v>5</v>
      </c>
      <c r="B7" s="6">
        <v>0.20850793195081696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0.1871334990561346</v>
      </c>
    </row>
    <row r="10" spans="1:2" x14ac:dyDescent="0.25">
      <c r="A10" t="s">
        <v>8</v>
      </c>
      <c r="B10" s="6">
        <v>0.19993834757349346</v>
      </c>
    </row>
    <row r="11" spans="1:2" x14ac:dyDescent="0.25">
      <c r="A11" t="s">
        <v>9</v>
      </c>
      <c r="B11" s="6">
        <v>0.25252525252525254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7.0109006575014945</v>
      </c>
    </row>
    <row r="14" spans="1:3" x14ac:dyDescent="0.25">
      <c r="A14" t="s">
        <v>12</v>
      </c>
      <c r="B14" s="6">
        <v>0.06771212285623414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0.60537</v>
      </c>
      <c r="C19" s="8" t="s">
        <v>19</v>
      </c>
    </row>
    <row r="20" spans="1:2" x14ac:dyDescent="0.25">
      <c r="A20" t="s">
        <v>20</v>
      </c>
      <c r="B20" s="10">
        <f>B17+B19*B18</f>
        <v>0.0898022</v>
      </c>
    </row>
    <row r="21" spans="1:3" x14ac:dyDescent="0.25">
      <c r="A21" t="s">
        <v>21</v>
      </c>
      <c r="B21" s="6">
        <v>0.061814914645103324</v>
      </c>
      <c r="C21" s="8" t="s">
        <v>22</v>
      </c>
    </row>
    <row r="22" spans="1:2" x14ac:dyDescent="0.25">
      <c r="A22" t="s">
        <v>23</v>
      </c>
      <c r="B22" s="11">
        <v>6228236800</v>
      </c>
    </row>
    <row r="23" spans="1:2" x14ac:dyDescent="0.25">
      <c r="A23" t="s">
        <v>24</v>
      </c>
      <c r="B23" s="11">
        <v>5629000000</v>
      </c>
    </row>
    <row r="24" spans="1:2" x14ac:dyDescent="0.25">
      <c r="A24" t="s">
        <v>25</v>
      </c>
      <c r="B24" s="10">
        <f>B22/(B22+B23)</f>
        <v>0.5252688214846144</v>
      </c>
    </row>
    <row r="25" spans="1:2" x14ac:dyDescent="0.25">
      <c r="A25" t="s">
        <v>26</v>
      </c>
      <c r="B25" s="10">
        <f>1-B24</f>
        <v>0.4747311785153856</v>
      </c>
    </row>
    <row r="26" spans="1:2" x14ac:dyDescent="0.25">
      <c r="A26" t="s">
        <v>27</v>
      </c>
      <c r="B26" s="12">
        <f>B24*B20+B25*B21*(1-B8)</f>
        <v>0.06771212285623414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4166000000</v>
      </c>
      <c r="C29" s="8" t="s">
        <v>30</v>
      </c>
    </row>
    <row r="30" spans="1:2" x14ac:dyDescent="0.25">
      <c r="A30" t="s">
        <v>31</v>
      </c>
      <c r="B30" s="11">
        <v>5501000000</v>
      </c>
    </row>
    <row r="31" spans="1:2" x14ac:dyDescent="0.25">
      <c r="A31" t="s">
        <v>32</v>
      </c>
      <c r="B31" s="13">
        <v>1716824000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0.06611600795114447</v>
      </c>
      <c r="C5" s="10">
        <f>Assumptions!B6</f>
        <v>0.06611600795114447</v>
      </c>
      <c r="D5" s="10">
        <f>Assumptions!B6</f>
        <v>0.06611600795114447</v>
      </c>
      <c r="E5" s="10">
        <f>Assumptions!B6</f>
        <v>0.06611600795114447</v>
      </c>
      <c r="F5" s="10">
        <f>Assumptions!B6</f>
        <v>0.06611600795114447</v>
      </c>
    </row>
    <row r="6" spans="1:6" x14ac:dyDescent="0.25">
      <c r="A6" t="s">
        <v>43</v>
      </c>
      <c r="B6" s="18">
        <f>Assumptions!B29*(1+B5)</f>
        <v>4441439289.124468</v>
      </c>
      <c r="C6" s="18">
        <f>B6*(1+C5)</f>
        <v>4735089524.478746</v>
      </c>
      <c r="D6" s="18">
        <f>C6*(1+D5)</f>
        <v>5048154741.128564</v>
      </c>
      <c r="E6" s="18">
        <f>D6*(1+E5)</f>
        <v>5381918580.131628</v>
      </c>
      <c r="F6" s="18">
        <f>E6*(1+F5)</f>
        <v>5737749551.768023</v>
      </c>
    </row>
    <row r="7" spans="1:6" x14ac:dyDescent="0.25">
      <c r="A7" t="s">
        <v>5</v>
      </c>
      <c r="B7" s="10">
        <f>Assumptions!B7</f>
        <v>0.20850793195081696</v>
      </c>
      <c r="C7" s="10">
        <f>Assumptions!B7</f>
        <v>0.20850793195081696</v>
      </c>
      <c r="D7" s="10">
        <f>Assumptions!B7</f>
        <v>0.20850793195081696</v>
      </c>
      <c r="E7" s="10">
        <f>Assumptions!B7</f>
        <v>0.20850793195081696</v>
      </c>
      <c r="F7" s="10">
        <f>Assumptions!B7</f>
        <v>0.20850793195081696</v>
      </c>
    </row>
    <row r="8" spans="1:6" x14ac:dyDescent="0.25">
      <c r="A8" t="s">
        <v>44</v>
      </c>
      <c r="B8" s="18">
        <f>B6*B7</f>
        <v>926075321.0604494</v>
      </c>
      <c r="C8" s="18">
        <f>C6*C7</f>
        <v>987303724.3510407</v>
      </c>
      <c r="D8" s="18">
        <f>D6*D7</f>
        <v>1052580305.2404286</v>
      </c>
      <c r="E8" s="18">
        <f>E6*E7</f>
        <v>1122172713.0709229</v>
      </c>
      <c r="F8" s="18">
        <f>F6*F7</f>
        <v>1196366293.0908773</v>
      </c>
    </row>
    <row r="9" spans="1:6" x14ac:dyDescent="0.25">
      <c r="A9" t="s">
        <v>45</v>
      </c>
      <c r="B9" s="18">
        <f>B8*(1-Assumptions!B8)</f>
        <v>648252724.7423145</v>
      </c>
      <c r="C9" s="18">
        <f>C8*(1-Assumptions!B8)</f>
        <v>691112607.0457284</v>
      </c>
      <c r="D9" s="18">
        <f>D8*(1-Assumptions!B8)</f>
        <v>736806213.6682999</v>
      </c>
      <c r="E9" s="18">
        <f>E8*(1-Assumptions!B8)</f>
        <v>785520899.1496459</v>
      </c>
      <c r="F9" s="18">
        <f>F8*(1-Assumptions!B8)</f>
        <v>837456405.163614</v>
      </c>
    </row>
    <row r="10" spans="1:6" x14ac:dyDescent="0.25">
      <c r="A10" t="s">
        <v>46</v>
      </c>
      <c r="B10" s="18">
        <f>B6*Assumptions!B9</f>
        <v>831142075.0192528</v>
      </c>
      <c r="C10" s="18">
        <f>C6*Assumptions!B9</f>
        <v>886093871.0597564</v>
      </c>
      <c r="D10" s="18">
        <f>D6*Assumptions!B9</f>
        <v>944678860.4842036</v>
      </c>
      <c r="E10" s="18">
        <f>E6*Assumptions!B9</f>
        <v>1007137255.5352553</v>
      </c>
      <c r="F10" s="18">
        <f>F6*Assumptions!B9</f>
        <v>1073725150.3301181</v>
      </c>
    </row>
    <row r="11" spans="1:6" x14ac:dyDescent="0.25">
      <c r="A11" t="s">
        <v>47</v>
      </c>
      <c r="B11" s="18">
        <f>-B6*Assumptions!B10</f>
        <v>-888014032.3155376</v>
      </c>
      <c r="C11" s="18">
        <f>-C6*Assumptions!B10</f>
        <v>-946725975.1368395</v>
      </c>
      <c r="D11" s="18">
        <f>-D6*Assumptions!B10</f>
        <v>-1009319717.2365417</v>
      </c>
      <c r="E11" s="18">
        <f>-E6*Assumptions!B10</f>
        <v>-1076051907.6866</v>
      </c>
      <c r="F11" s="18">
        <f>-F6*Assumptions!B10</f>
        <v>-1147196164.1710513</v>
      </c>
    </row>
    <row r="12" spans="1:6" x14ac:dyDescent="0.25">
      <c r="A12" t="s">
        <v>48</v>
      </c>
      <c r="B12" s="18">
        <f>-(B6-Assumptions!B29)*Assumptions!B11</f>
        <v>-69555376.0415323</v>
      </c>
      <c r="C12" s="18">
        <f>-(C6-B6)*Assumptions!B11</f>
        <v>-74154099.83693904</v>
      </c>
      <c r="D12" s="18">
        <f>-(D6-C6)*Assumptions!B11</f>
        <v>-79056872.89136805</v>
      </c>
      <c r="E12" s="18">
        <f>-(E6-D6)*Assumptions!B11</f>
        <v>-84283797.7280465</v>
      </c>
      <c r="F12" s="18">
        <f>-(F6-E6)*Assumptions!B11</f>
        <v>-89856305.9687865</v>
      </c>
    </row>
    <row r="13" spans="1:6" x14ac:dyDescent="0.25">
      <c r="A13" s="19" t="s">
        <v>49</v>
      </c>
      <c r="B13" s="20">
        <f>B9+B10+B11+B12</f>
        <v>521825391.40449727</v>
      </c>
      <c r="C13" s="20">
        <f>C9+C10+C11+C12</f>
        <v>556326403.1317065</v>
      </c>
      <c r="D13" s="20">
        <f>D9+D10+D11+D12</f>
        <v>593108484.0245937</v>
      </c>
      <c r="E13" s="20">
        <f>E9+E10+E11+E12</f>
        <v>632322449.2702547</v>
      </c>
      <c r="F13" s="20">
        <f>F9+F10+F11+F12</f>
        <v>674129085.3538942</v>
      </c>
    </row>
    <row r="14" spans="1:6" x14ac:dyDescent="0.25">
      <c r="A14" t="s">
        <v>50</v>
      </c>
      <c r="B14" s="21">
        <f>1/(1+Assumptions!$B$26)^(1-0.5*Assumptions!$B$32)</f>
        <v>0.9677716888428413</v>
      </c>
      <c r="C14" s="21">
        <f>1/(1+Assumptions!$B$26)^(2-0.5*Assumptions!$B$32)</f>
        <v>0.9063975842607815</v>
      </c>
      <c r="D14" s="21">
        <f>1/(1+Assumptions!$B$26)^(3-0.5*Assumptions!$B$32)</f>
        <v>0.8489157000822276</v>
      </c>
      <c r="E14" s="21">
        <f>1/(1+Assumptions!$B$26)^(4-0.5*Assumptions!$B$32)</f>
        <v>0.7950791996360361</v>
      </c>
      <c r="F14" s="21">
        <f>1/(1+Assumptions!$B$26)^(5-0.5*Assumptions!$B$32)</f>
        <v>0.7446569001287742</v>
      </c>
    </row>
    <row r="15" spans="1:6" x14ac:dyDescent="0.25">
      <c r="A15" s="19" t="s">
        <v>51</v>
      </c>
      <c r="B15" s="20">
        <f>B13*B14</f>
        <v>505007840.320607</v>
      </c>
      <c r="C15" s="20">
        <f>C13*C14</f>
        <v>504252907.85906845</v>
      </c>
      <c r="D15" s="20">
        <f>D13*D14</f>
        <v>503499103.9404467</v>
      </c>
      <c r="E15" s="20">
        <f>E13*E14</f>
        <v>502746426.87769216</v>
      </c>
      <c r="F15" s="20">
        <f>F13*F14</f>
        <v>501994874.9862767</v>
      </c>
    </row>
    <row r="17" spans="1:2" x14ac:dyDescent="0.25">
      <c r="A17" s="22" t="s">
        <v>52</v>
      </c>
      <c r="B17" s="23">
        <f>SUM(B15:F15)</f>
        <v>2517501153.9840913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674129085.3538942</v>
      </c>
    </row>
    <row r="5" spans="1:2" x14ac:dyDescent="0.25">
      <c r="A5" t="s">
        <v>56</v>
      </c>
      <c r="B5" s="18">
        <f>IF(Assumptions!$B$33=0,B4,B4-Forecast!F11-Forecast!F10-Forecast!F12)</f>
        <v>837456405.163614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0.369210105154727</v>
      </c>
    </row>
    <row r="7" spans="1:2" x14ac:dyDescent="0.25">
      <c r="A7" t="s">
        <v>58</v>
      </c>
      <c r="B7" s="18">
        <f>-MAX(Forecast!F9,0)*B6</f>
        <v>-309197367.4129576</v>
      </c>
    </row>
    <row r="8" spans="1:2" x14ac:dyDescent="0.25">
      <c r="A8" t="s">
        <v>59</v>
      </c>
      <c r="B8" s="18">
        <f>IF(OR(Assumptions!$B$33=0,Assumptions!B12&lt;=0),B5,MAX(B5+B7,0))</f>
        <v>528259037.7506564</v>
      </c>
    </row>
    <row r="9" spans="1:2" x14ac:dyDescent="0.25">
      <c r="A9" t="s">
        <v>60</v>
      </c>
      <c r="B9" s="18">
        <f>B8*(1+Assumptions!B12)/(Assumptions!B26-Assumptions!B12)</f>
        <v>12677092063.931261</v>
      </c>
    </row>
    <row r="10" spans="1:2" x14ac:dyDescent="0.25">
      <c r="A10" t="s">
        <v>61</v>
      </c>
      <c r="B10" s="18">
        <f>B9/(1+Assumptions!B26)^(5-0.5*Assumptions!B32)</f>
        <v>9440084078.974136</v>
      </c>
    </row>
    <row r="11" spans="1:2" x14ac:dyDescent="0.25">
      <c r="A11" t="s">
        <v>62</v>
      </c>
      <c r="B11" s="18">
        <f>Forecast!B17+B10</f>
        <v>11957585232.958227</v>
      </c>
    </row>
    <row r="12" spans="1:2" x14ac:dyDescent="0.25">
      <c r="A12" t="s">
        <v>63</v>
      </c>
      <c r="B12" s="18">
        <f>-Assumptions!B30</f>
        <v>-5501000000</v>
      </c>
    </row>
    <row r="13" spans="1:2" x14ac:dyDescent="0.25">
      <c r="A13" t="s">
        <v>64</v>
      </c>
      <c r="B13" s="18">
        <f>B11+B12</f>
        <v>6456585232.958227</v>
      </c>
    </row>
    <row r="14" spans="1:2" x14ac:dyDescent="0.25">
      <c r="A14" s="19" t="s">
        <v>65</v>
      </c>
      <c r="B14" s="24">
        <f>B13/Assumptions!B31</f>
        <v>3.7607729347668877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2270091443.420995</v>
      </c>
    </row>
    <row r="18" spans="1:2" x14ac:dyDescent="0.25">
      <c r="A18" t="s">
        <v>60</v>
      </c>
      <c r="B18" s="18">
        <f>B17*Assumptions!B13</f>
        <v>15915385593.268772</v>
      </c>
    </row>
    <row r="19" spans="1:2" x14ac:dyDescent="0.25">
      <c r="A19" t="s">
        <v>61</v>
      </c>
      <c r="B19" s="18">
        <f>B18/(1+Assumptions!B26)^(5-0.5*Assumptions!B32)</f>
        <v>11851501700.237675</v>
      </c>
    </row>
    <row r="20" spans="1:2" x14ac:dyDescent="0.25">
      <c r="A20" t="s">
        <v>62</v>
      </c>
      <c r="B20" s="18">
        <f>Forecast!B17+B19</f>
        <v>14369002854.221766</v>
      </c>
    </row>
    <row r="21" spans="1:2" x14ac:dyDescent="0.25">
      <c r="A21" t="s">
        <v>63</v>
      </c>
      <c r="B21" s="18">
        <f>-Assumptions!B30</f>
        <v>-5501000000</v>
      </c>
    </row>
    <row r="22" spans="1:2" x14ac:dyDescent="0.25">
      <c r="A22" t="s">
        <v>64</v>
      </c>
      <c r="B22" s="18">
        <f>B20+B21</f>
        <v>8868002854.221766</v>
      </c>
    </row>
    <row r="23" spans="1:2" x14ac:dyDescent="0.25">
      <c r="A23" s="19" t="s">
        <v>65</v>
      </c>
      <c r="B23" s="25">
        <f>B22/Assumptions!B31</f>
        <v>5.165353498216337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3.7607729347668877</v>
      </c>
    </row>
    <row r="29" spans="1:2" x14ac:dyDescent="0.25">
      <c r="A29" s="19" t="s">
        <v>73</v>
      </c>
      <c r="B29" s="12">
        <f>B28/B26-1</f>
        <v>0.016425117504564213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0.047712</v>
      </c>
      <c r="B5" s="31">
        <v>7.5172648117999445</v>
      </c>
      <c r="C5" s="31">
        <v>8.006548192761826</v>
      </c>
      <c r="D5" s="31">
        <v>8.69665402261625</v>
      </c>
      <c r="E5" s="31">
        <v>9.757655513501204</v>
      </c>
      <c r="F5" s="31">
        <v>11.62720487714246</v>
      </c>
    </row>
    <row r="6" spans="1:6" x14ac:dyDescent="0.25">
      <c r="A6" s="30">
        <v>0.057712</v>
      </c>
      <c r="B6" s="31">
        <v>5.0363616671945</v>
      </c>
      <c r="C6" s="31">
        <v>5.1077148292814485</v>
      </c>
      <c r="D6" s="31">
        <v>5.19116324559478</v>
      </c>
      <c r="E6" s="31">
        <v>5.293253856571704</v>
      </c>
      <c r="F6" s="31">
        <v>5.4262987844363195</v>
      </c>
    </row>
    <row r="7" spans="1:6" x14ac:dyDescent="0.25">
      <c r="A7" s="30">
        <v>0.067712</v>
      </c>
      <c r="B7" s="31">
        <v>3.707141428752134</v>
      </c>
      <c r="C7" s="31">
        <v>3.733963804269062</v>
      </c>
      <c r="D7" s="32">
        <v>3.7607861797859874</v>
      </c>
      <c r="E7" s="31">
        <v>3.7876085553029157</v>
      </c>
      <c r="F7" s="31">
        <v>3.8144309308198427</v>
      </c>
    </row>
    <row r="8" spans="1:6" x14ac:dyDescent="0.25">
      <c r="A8" s="30">
        <v>0.077712</v>
      </c>
      <c r="B8" s="31">
        <v>2.7779635466708443</v>
      </c>
      <c r="C8" s="31">
        <v>2.800374282544639</v>
      </c>
      <c r="D8" s="31">
        <v>2.822785018418432</v>
      </c>
      <c r="E8" s="31">
        <v>2.8451957542922277</v>
      </c>
      <c r="F8" s="31">
        <v>2.8676064901660223</v>
      </c>
    </row>
    <row r="9" spans="1:6" x14ac:dyDescent="0.25">
      <c r="A9" s="30">
        <v>0.087712</v>
      </c>
      <c r="B9" s="31">
        <v>2.062893616742579</v>
      </c>
      <c r="C9" s="31">
        <v>2.0819409764709444</v>
      </c>
      <c r="D9" s="31">
        <v>2.1009883361993094</v>
      </c>
      <c r="E9" s="31">
        <v>2.1200356959276743</v>
      </c>
      <c r="F9" s="31">
        <v>2.1390830556560396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4166000000</v>
      </c>
      <c r="C5" s="18">
        <v>3869000000</v>
      </c>
      <c r="D5" s="18">
        <v>3756000000</v>
      </c>
      <c r="E5" s="18">
        <v>3438000000</v>
      </c>
      <c r="F5" s="8" t="s">
        <v>84</v>
      </c>
    </row>
    <row r="6" spans="1:6" x14ac:dyDescent="0.25">
      <c r="A6" t="s">
        <v>44</v>
      </c>
      <c r="B6" s="18">
        <v>934000000</v>
      </c>
      <c r="C6" s="18">
        <v>761000000</v>
      </c>
      <c r="D6" s="18">
        <v>834000000</v>
      </c>
      <c r="E6" s="18">
        <v>657000000</v>
      </c>
      <c r="F6" s="8" t="s">
        <v>85</v>
      </c>
    </row>
    <row r="7" spans="1:6" x14ac:dyDescent="0.25">
      <c r="A7" t="s">
        <v>86</v>
      </c>
      <c r="B7" s="18">
        <v>739000000</v>
      </c>
      <c r="C7" s="18">
        <v>732000000</v>
      </c>
      <c r="D7" s="18">
        <v>707000000</v>
      </c>
      <c r="E7" s="18">
        <v>666000000</v>
      </c>
      <c r="F7" s="8" t="s">
        <v>87</v>
      </c>
    </row>
    <row r="8" spans="1:6" x14ac:dyDescent="0.25">
      <c r="A8" t="s">
        <v>88</v>
      </c>
      <c r="B8" s="18">
        <v>751000000</v>
      </c>
      <c r="C8" s="18">
        <v>696000000</v>
      </c>
      <c r="D8" s="18">
        <v>823000000</v>
      </c>
      <c r="E8" s="18">
        <v>758000000</v>
      </c>
      <c r="F8" s="8" t="s">
        <v>89</v>
      </c>
    </row>
    <row r="9" spans="1:6" x14ac:dyDescent="0.25">
      <c r="A9" t="s">
        <v>90</v>
      </c>
      <c r="B9" s="18">
        <v>75000000</v>
      </c>
      <c r="C9" s="18">
        <v>99000000</v>
      </c>
      <c r="D9" s="18">
        <v>54000000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5629000000</v>
      </c>
      <c r="C10" s="18">
        <v>5501000000</v>
      </c>
      <c r="D10" s="18">
        <v>4922000000</v>
      </c>
      <c r="E10" s="18">
        <v>5589000000</v>
      </c>
      <c r="F10" s="8" t="s">
        <v>93</v>
      </c>
    </row>
    <row r="11" spans="1:6" x14ac:dyDescent="0.25">
      <c r="A11" t="s">
        <v>94</v>
      </c>
      <c r="B11" s="18">
        <v>128000000</v>
      </c>
      <c r="C11" s="18">
        <v>64000000</v>
      </c>
      <c r="D11" s="18">
        <v>49000000</v>
      </c>
      <c r="E11" s="18">
        <v>92000000</v>
      </c>
      <c r="F11" s="8" t="s">
        <v>95</v>
      </c>
    </row>
    <row r="12" spans="1:6" x14ac:dyDescent="0.25">
      <c r="A12" t="s">
        <v>32</v>
      </c>
      <c r="B12" s="34">
        <v>1716824000</v>
      </c>
      <c r="C12" s="34">
        <v>1788594000</v>
      </c>
      <c r="D12" s="34">
        <v>1845454545</v>
      </c>
      <c r="E12" s="34">
        <v>1840704000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2026-09-19T00:07:16Z</dcterms:modified>
</cp:coreProperties>
</file>