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<sst xmlns="http://schemas.openxmlformats.org/spreadsheetml/2006/main" count="114" uniqueCount="102">
  <si>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Azimut Holding S.p.A. (AZM.MI)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</si>
  <si>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</si>
  <si>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</si>
  <si>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</si>
  <si>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</si>
  <si>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</si>
  <si>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</si>
  <si>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</si>
  <si>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</si>
  <si>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</si>
  <si>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</si>
  <si>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</si>
  <si>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</si>
  <si>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</si>
  <si>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</si>
  <si>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</si>
  <si>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</si>
  <si>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</si>
  <si>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</si>
  <si>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</si>
  <si>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</si>
  <si>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</si>
  <si>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22.3% is not a credible funding cost, so risk-free + 2bp is assumed instead. Interest expense and reported debt are measuring different things - common for banks, whose interest expense includes deposits that total debt excludes.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</si>
  <si>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</si>
  <si>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</si>
  <si>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</si>
  <si>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</si>
  <si>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</si>
  <si>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</si>
  <si>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</si>
  <si>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</si>
  <si>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</si>
  <si>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</si>
  <si>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</si>
  <si>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</si>
  <si>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</si>
  <si>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</si>
  <si>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</si>
  <si>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</si>
  <si>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</si>
  <si>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</si>
  <si>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</si>
  <si>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</si>
  <si>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</si>
  <si>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</si>
  <si>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</si>
  <si>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</si>
  <si>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</si>
  <si>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</si>
  <si>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</si>
  <si>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</si>
  <si>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</si>
  <si>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</si>
  <si>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</si>
  <si>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</si>
  <si>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</si>
  <si>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</si>
  <si>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</si>
  <si>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</si>
  <si>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</si>
  <si>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</si>
  <si>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</si>
  <si>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</si>
  <si>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</si>
  <si>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</si>
  <si>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</si>
  <si>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</si>
  <si>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</si>
  <si>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</si>
  <si>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</si>
  <si>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</si>
  <si>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</si>
  <si>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</si>
  <si>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</si>
  <si>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</si>
  <si>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</si>
  <si>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</si>
  <si>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</si>
  <si>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</si>
  <si>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</si>
  <si>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</si>
  <si>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</si>
  <si>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</si>
  <si>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</si>
  <si>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</si>
  <si>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</si>
  <si>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</si>
  <si>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</si>
  <si>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</si>
  <si>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</si>
  <si>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</si>
  <si>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</si>
  <si>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</si>
  <si>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</si>
  <si>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</si>
  <si>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</si>
  <si>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</si>
  <si>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</si>
  <si>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</si>
  <si>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Capital expenditure runs at 3.9% of revenue against depreciation of 2.5%.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</si>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</sst>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0.03059379117583161</v>
      </c>
    </row>
    <row r="7" spans="1:2" x14ac:dyDescent="0.25">
      <c r="A7" t="s">
        <v>5</v>
      </c>
      <c r="B7" s="6">
        <v>0.4636995641363252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0.02518592970086605</v>
      </c>
    </row>
    <row r="10" spans="1:2" x14ac:dyDescent="0.25">
      <c r="A10" t="s">
        <v>8</v>
      </c>
      <c r="B10" s="6">
        <v>0.03946942725295258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7.644186304887836</v>
      </c>
    </row>
    <row r="14" spans="1:3" x14ac:dyDescent="0.25">
      <c r="A14" t="s">
        <v>12</v>
      </c>
      <c r="B14" s="6">
        <v>0.22637097068291245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0.9892799999999999</v>
      </c>
      <c r="C19" s="8" t="s">
        <v>19</v>
      </c>
    </row>
    <row r="20" spans="1:2" x14ac:dyDescent="0.25">
      <c r="A20" t="s">
        <v>20</v>
      </c>
      <c r="B20" s="10">
        <f>B17+B19*B18</f>
        <v>0.10630320000000001</v>
      </c>
    </row>
    <row r="21" spans="1:3" x14ac:dyDescent="0.25">
      <c r="A21" t="s">
        <v>21</v>
      </c>
      <c r="B21" s="6">
        <v>0.062</v>
      </c>
      <c r="C21" s="8" t="s">
        <v>22</v>
      </c>
    </row>
    <row r="22" spans="1:2" x14ac:dyDescent="0.25">
      <c r="A22" t="s">
        <v>23</v>
      </c>
      <c r="B22" s="11">
        <v>5494680576</v>
      </c>
    </row>
    <row r="23" spans="1:2" x14ac:dyDescent="0.25">
      <c r="A23" t="s">
        <v>24</v>
      </c>
      <c r="B23" s="11">
        <v>29912000</v>
      </c>
    </row>
    <row r="24" spans="1:2" x14ac:dyDescent="0.25">
      <c r="A24" t="s">
        <v>25</v>
      </c>
      <c r="B24" s="10">
        <f>B22/(B22+B23)</f>
        <v>0.9945856640849963</v>
      </c>
    </row>
    <row r="25" spans="1:2" x14ac:dyDescent="0.25">
      <c r="A25" t="s">
        <v>26</v>
      </c>
      <c r="B25" s="10">
        <f>1-B24</f>
        <v>0.005414335915003732</v>
      </c>
    </row>
    <row r="26" spans="1:2" x14ac:dyDescent="0.25">
      <c r="A26" t="s">
        <v>27</v>
      </c>
      <c r="B26" s="12">
        <f>B24*B20+B25*B21*(1-B8)</f>
        <v>0.10597940538640788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1407370000</v>
      </c>
      <c r="C29" s="8" t="s">
        <v>30</v>
      </c>
    </row>
    <row r="30" spans="1:2" x14ac:dyDescent="0.25">
      <c r="A30" t="s">
        <v>31</v>
      </c>
      <c r="B30" s="11">
        <v>-494045000</v>
      </c>
    </row>
    <row r="31" spans="1:2" x14ac:dyDescent="0.25">
      <c r="A31" t="s">
        <v>32</v>
      </c>
      <c r="B31" s="13">
        <v>141688949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0.03059379117583161</v>
      </c>
      <c r="C5" s="10">
        <f>Assumptions!B6</f>
        <v>0.03059379117583161</v>
      </c>
      <c r="D5" s="10">
        <f>Assumptions!B6</f>
        <v>0.03059379117583161</v>
      </c>
      <c r="E5" s="10">
        <f>Assumptions!B6</f>
        <v>0.03059379117583161</v>
      </c>
      <c r="F5" s="10">
        <f>Assumptions!B6</f>
        <v>0.03059379117583161</v>
      </c>
    </row>
    <row r="6" spans="1:6" x14ac:dyDescent="0.25">
      <c r="A6" t="s">
        <v>43</v>
      </c>
      <c r="B6" s="18">
        <f>Assumptions!B29*(1+B5)</f>
        <v>1450426783.88713</v>
      </c>
      <c r="C6" s="18">
        <f>B6*(1+C5)</f>
        <v>1494800838.029206</v>
      </c>
      <c r="D6" s="18">
        <f>C6*(1+D5)</f>
        <v>1540532462.7173297</v>
      </c>
      <c r="E6" s="18">
        <f>D6*(1+E5)</f>
        <v>1587663191.1812932</v>
      </c>
      <c r="F6" s="18">
        <f>E6*(1+F5)</f>
        <v>1636235827.309848</v>
      </c>
    </row>
    <row r="7" spans="1:6" x14ac:dyDescent="0.25">
      <c r="A7" t="s">
        <v>5</v>
      </c>
      <c r="B7" s="10">
        <f>Assumptions!B7</f>
        <v>0.4636995641363252</v>
      </c>
      <c r="C7" s="10">
        <f>Assumptions!B7</f>
        <v>0.4636995641363252</v>
      </c>
      <c r="D7" s="10">
        <f>Assumptions!B7</f>
        <v>0.4636995641363252</v>
      </c>
      <c r="E7" s="10">
        <f>Assumptions!B7</f>
        <v>0.4636995641363252</v>
      </c>
      <c r="F7" s="10">
        <f>Assumptions!B7</f>
        <v>0.4636995641363252</v>
      </c>
    </row>
    <row r="8" spans="1:6" x14ac:dyDescent="0.25">
      <c r="A8" t="s">
        <v>44</v>
      </c>
      <c r="B8" s="18">
        <f>B6*B7</f>
        <v>672562267.5001141</v>
      </c>
      <c r="C8" s="18">
        <f>C6*C7</f>
        <v>693138497.0647565</v>
      </c>
      <c r="D8" s="18">
        <f>D6*D7</f>
        <v>714344231.4998854</v>
      </c>
      <c r="E8" s="18">
        <f>E6*E7</f>
        <v>736198729.7460527</v>
      </c>
      <c r="F8" s="18">
        <f>F6*F7</f>
        <v>758721839.947816</v>
      </c>
    </row>
    <row r="9" spans="1:6" x14ac:dyDescent="0.25">
      <c r="A9" t="s">
        <v>45</v>
      </c>
      <c r="B9" s="18">
        <f>B8*(1-Assumptions!B8)</f>
        <v>504421700.6250856</v>
      </c>
      <c r="C9" s="18">
        <f>C8*(1-Assumptions!B8)</f>
        <v>519853872.7985674</v>
      </c>
      <c r="D9" s="18">
        <f>D8*(1-Assumptions!B8)</f>
        <v>535758173.62491405</v>
      </c>
      <c r="E9" s="18">
        <f>E8*(1-Assumptions!B8)</f>
        <v>552149047.3095396</v>
      </c>
      <c r="F9" s="18">
        <f>F8*(1-Assumptions!B8)</f>
        <v>569041379.960862</v>
      </c>
    </row>
    <row r="10" spans="1:6" x14ac:dyDescent="0.25">
      <c r="A10" t="s">
        <v>46</v>
      </c>
      <c r="B10" s="18">
        <f>B6*Assumptions!B9</f>
        <v>36530347.01523449</v>
      </c>
      <c r="C10" s="18">
        <f>C6*Assumptions!B9</f>
        <v>37647948.82339924</v>
      </c>
      <c r="D10" s="18">
        <f>D6*Assumptions!B9</f>
        <v>38799742.30790071</v>
      </c>
      <c r="E10" s="18">
        <f>E6*Assumptions!B9</f>
        <v>39986773.521744706</v>
      </c>
      <c r="F10" s="18">
        <f>F6*Assumptions!B9</f>
        <v>41210120.52066423</v>
      </c>
    </row>
    <row r="11" spans="1:6" x14ac:dyDescent="0.25">
      <c r="A11" t="s">
        <v>47</v>
      </c>
      <c r="B11" s="18">
        <f>-B6*Assumptions!B10</f>
        <v>-57247514.43236705</v>
      </c>
      <c r="C11" s="18">
        <f>-C6*Assumptions!B10</f>
        <v>-58998932.934246294</v>
      </c>
      <c r="D11" s="18">
        <f>-D6*Assumptions!B10</f>
        <v>-60803933.96803352</v>
      </c>
      <c r="E11" s="18">
        <f>-E6*Assumptions!B10</f>
        <v>-62664156.82652059</v>
      </c>
      <c r="F11" s="18">
        <f>-F6*Assumptions!B10</f>
        <v>-64581290.954680726</v>
      </c>
    </row>
    <row r="12" spans="1:6" x14ac:dyDescent="0.25">
      <c r="A12" t="s">
        <v>48</v>
      </c>
      <c r="B12" s="18">
        <f>-(B6-Assumptions!B29)*Assumptions!B11</f>
        <v>-43056783.88713002</v>
      </c>
      <c r="C12" s="18">
        <f>-(C6-B6)*Assumptions!B11</f>
        <v>-44374054.142076015</v>
      </c>
      <c r="D12" s="18">
        <f>-(D6-C6)*Assumptions!B11</f>
        <v>-45731624.6881237</v>
      </c>
      <c r="E12" s="18">
        <f>-(E6-D6)*Assumptions!B11</f>
        <v>-47130728.46396351</v>
      </c>
      <c r="F12" s="18">
        <f>-(F6-E6)*Assumptions!B11</f>
        <v>-48572636.12855482</v>
      </c>
    </row>
    <row r="13" spans="1:6" x14ac:dyDescent="0.25">
      <c r="A13" s="19" t="s">
        <v>49</v>
      </c>
      <c r="B13" s="20">
        <f>B9+B10+B11+B12</f>
        <v>440647749.320823</v>
      </c>
      <c r="C13" s="20">
        <f>C9+C10+C11+C12</f>
        <v>454128834.5456443</v>
      </c>
      <c r="D13" s="20">
        <f>D9+D10+D11+D12</f>
        <v>468022357.27665746</v>
      </c>
      <c r="E13" s="20">
        <f>E9+E10+E11+E12</f>
        <v>482340935.5408002</v>
      </c>
      <c r="F13" s="20">
        <f>F9+F10+F11+F12</f>
        <v>497097573.39829075</v>
      </c>
    </row>
    <row r="14" spans="1:6" x14ac:dyDescent="0.25">
      <c r="A14" t="s">
        <v>50</v>
      </c>
      <c r="B14" s="21">
        <f>1/(1+Assumptions!$B$26)^(1-0.5*Assumptions!$B$32)</f>
        <v>0.9508816795449869</v>
      </c>
      <c r="C14" s="21">
        <f>1/(1+Assumptions!$B$26)^(2-0.5*Assumptions!$B$32)</f>
        <v>0.8597643635260706</v>
      </c>
      <c r="D14" s="21">
        <f>1/(1+Assumptions!$B$26)^(3-0.5*Assumptions!$B$32)</f>
        <v>0.7773782760680662</v>
      </c>
      <c r="E14" s="21">
        <f>1/(1+Assumptions!$B$26)^(4-0.5*Assumptions!$B$32)</f>
        <v>0.7028867556502693</v>
      </c>
      <c r="F14" s="21">
        <f>1/(1+Assumptions!$B$26)^(5-0.5*Assumptions!$B$32)</f>
        <v>0.6355333130318952</v>
      </c>
    </row>
    <row r="15" spans="1:6" x14ac:dyDescent="0.25">
      <c r="A15" s="19" t="s">
        <v>51</v>
      </c>
      <c r="B15" s="20">
        <f>B13*B14</f>
        <v>419003871.96190256</v>
      </c>
      <c r="C15" s="20">
        <f>C13*C14</f>
        <v>390443788.39197206</v>
      </c>
      <c r="D15" s="20">
        <f>D13*D14</f>
        <v>363830413.2610405</v>
      </c>
      <c r="E15" s="20">
        <f>E13*E14</f>
        <v>339031055.29958874</v>
      </c>
      <c r="F15" s="20">
        <f>F13*F14</f>
        <v>315922067.7219314</v>
      </c>
    </row>
    <row r="17" spans="1:2" x14ac:dyDescent="0.25">
      <c r="A17" s="22" t="s">
        <v>52</v>
      </c>
      <c r="B17" s="23">
        <f>SUM(B15:F15)</f>
        <v>1828231196.6364353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497097573.39829075</v>
      </c>
    </row>
    <row r="5" spans="1:2" x14ac:dyDescent="0.25">
      <c r="A5" t="s">
        <v>56</v>
      </c>
      <c r="B5" s="18">
        <f>IF(Assumptions!$B$33=0,B4,B4-Forecast!F11-Forecast!F10-Forecast!F12)</f>
        <v>569041379.960862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0.11043818880389294</v>
      </c>
    </row>
    <row r="7" spans="1:2" x14ac:dyDescent="0.25">
      <c r="A7" t="s">
        <v>58</v>
      </c>
      <c r="B7" s="18">
        <f>-MAX(Forecast!F9,0)*B6</f>
        <v>-62843899.35734546</v>
      </c>
    </row>
    <row r="8" spans="1:2" x14ac:dyDescent="0.25">
      <c r="A8" t="s">
        <v>59</v>
      </c>
      <c r="B8" s="18">
        <f>IF(OR(Assumptions!$B$33=0,Assumptions!B12&lt;=0),B5,MAX(B5+B7,0))</f>
        <v>506197480.6035166</v>
      </c>
    </row>
    <row r="9" spans="1:2" x14ac:dyDescent="0.25">
      <c r="A9" t="s">
        <v>60</v>
      </c>
      <c r="B9" s="18">
        <f>B8*(1+Assumptions!B12)/(Assumptions!B26-Assumptions!B12)</f>
        <v>6407214465.737384</v>
      </c>
    </row>
    <row r="10" spans="1:2" x14ac:dyDescent="0.25">
      <c r="A10" t="s">
        <v>61</v>
      </c>
      <c r="B10" s="18">
        <f>B9/(1+Assumptions!B26)^(5-0.5*Assumptions!B32)</f>
        <v>4071998236.715964</v>
      </c>
    </row>
    <row r="11" spans="1:2" x14ac:dyDescent="0.25">
      <c r="A11" t="s">
        <v>62</v>
      </c>
      <c r="B11" s="18">
        <f>Forecast!B17+B10</f>
        <v>5900229433.352399</v>
      </c>
    </row>
    <row r="12" spans="1:2" x14ac:dyDescent="0.25">
      <c r="A12" t="s">
        <v>63</v>
      </c>
      <c r="B12" s="18">
        <f>-Assumptions!B30</f>
        <v>494045000</v>
      </c>
    </row>
    <row r="13" spans="1:2" x14ac:dyDescent="0.25">
      <c r="A13" t="s">
        <v>64</v>
      </c>
      <c r="B13" s="18">
        <f>B11+B12</f>
        <v>6394274433.352399</v>
      </c>
    </row>
    <row r="14" spans="1:2" x14ac:dyDescent="0.25">
      <c r="A14" s="19" t="s">
        <v>65</v>
      </c>
      <c r="B14" s="24">
        <f>B13/Assumptions!B31</f>
        <v>45.128956622809014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799931960.4684802</v>
      </c>
    </row>
    <row r="18" spans="1:2" x14ac:dyDescent="0.25">
      <c r="A18" t="s">
        <v>60</v>
      </c>
      <c r="B18" s="18">
        <f>B17*Assumptions!B13</f>
        <v>6114828937.055235</v>
      </c>
    </row>
    <row r="19" spans="1:2" x14ac:dyDescent="0.25">
      <c r="A19" t="s">
        <v>61</v>
      </c>
      <c r="B19" s="18">
        <f>B18/(1+Assumptions!B26)^(5-0.5*Assumptions!B32)</f>
        <v>3886177492.9900155</v>
      </c>
    </row>
    <row r="20" spans="1:2" x14ac:dyDescent="0.25">
      <c r="A20" t="s">
        <v>62</v>
      </c>
      <c r="B20" s="18">
        <f>Forecast!B17+B19</f>
        <v>5714408689.626451</v>
      </c>
    </row>
    <row r="21" spans="1:2" x14ac:dyDescent="0.25">
      <c r="A21" t="s">
        <v>63</v>
      </c>
      <c r="B21" s="18">
        <f>-Assumptions!B30</f>
        <v>494045000</v>
      </c>
    </row>
    <row r="22" spans="1:2" x14ac:dyDescent="0.25">
      <c r="A22" t="s">
        <v>64</v>
      </c>
      <c r="B22" s="18">
        <f>B20+B21</f>
        <v>6208453689.626451</v>
      </c>
    </row>
    <row r="23" spans="1:2" x14ac:dyDescent="0.25">
      <c r="A23" s="19" t="s">
        <v>65</v>
      </c>
      <c r="B23" s="25">
        <f>B22/Assumptions!B31</f>
        <v>43.81748706193346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39.05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45.128956622809014</v>
      </c>
    </row>
    <row r="29" spans="1:2" x14ac:dyDescent="0.25">
      <c r="A29" s="19" t="s">
        <v>73</v>
      </c>
      <c r="B29" s="12">
        <f>B28/B26-1</f>
        <v>0.15567110429728603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0.085979</v>
      </c>
      <c r="B5" s="31">
        <v>53.95955122666516</v>
      </c>
      <c r="C5" s="31">
        <v>56.01320886426101</v>
      </c>
      <c r="D5" s="31">
        <v>58.39361117256569</v>
      </c>
      <c r="E5" s="31">
        <v>61.18831187816658</v>
      </c>
      <c r="F5" s="31">
        <v>64.51921364607166</v>
      </c>
    </row>
    <row r="6" spans="1:6" x14ac:dyDescent="0.25">
      <c r="A6" s="30">
        <v>0.095979</v>
      </c>
      <c r="B6" s="31">
        <v>47.78883288362487</v>
      </c>
      <c r="C6" s="31">
        <v>49.21162339754105</v>
      </c>
      <c r="D6" s="31">
        <v>50.82659219789412</v>
      </c>
      <c r="E6" s="31">
        <v>52.67743006957862</v>
      </c>
      <c r="F6" s="31">
        <v>54.822157578198585</v>
      </c>
    </row>
    <row r="7" spans="1:6" x14ac:dyDescent="0.25">
      <c r="A7" s="30">
        <v>0.105979</v>
      </c>
      <c r="B7" s="31">
        <v>42.97862789811337</v>
      </c>
      <c r="C7" s="31">
        <v>43.99464125534654</v>
      </c>
      <c r="D7" s="32">
        <v>45.12915905300275</v>
      </c>
      <c r="E7" s="31">
        <v>46.405576789921795</v>
      </c>
      <c r="F7" s="31">
        <v>47.853882196121575</v>
      </c>
    </row>
    <row r="8" spans="1:6" x14ac:dyDescent="0.25">
      <c r="A8" s="30">
        <v>0.115979</v>
      </c>
      <c r="B8" s="31">
        <v>39.12451732251748</v>
      </c>
      <c r="C8" s="31">
        <v>39.86681858801436</v>
      </c>
      <c r="D8" s="31">
        <v>40.68475960689755</v>
      </c>
      <c r="E8" s="31">
        <v>41.59153658173736</v>
      </c>
      <c r="F8" s="31">
        <v>42.60360488169553</v>
      </c>
    </row>
    <row r="9" spans="1:6" x14ac:dyDescent="0.25">
      <c r="A9" s="30">
        <v>0.125979</v>
      </c>
      <c r="B9" s="31">
        <v>35.967859458213795</v>
      </c>
      <c r="C9" s="31">
        <v>36.51971728865684</v>
      </c>
      <c r="D9" s="31">
        <v>37.12107548541986</v>
      </c>
      <c r="E9" s="31">
        <v>37.779670173017585</v>
      </c>
      <c r="F9" s="31">
        <v>38.50493811556615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1407370000</v>
      </c>
      <c r="C5" s="18">
        <v>1332650000</v>
      </c>
      <c r="D5" s="18">
        <v>1206905000</v>
      </c>
      <c r="E5" s="18">
        <v>1285718000</v>
      </c>
      <c r="F5" s="8" t="s">
        <v>84</v>
      </c>
    </row>
    <row r="6" spans="1:6" x14ac:dyDescent="0.25">
      <c r="A6" t="s">
        <v>44</v>
      </c>
      <c r="B6" s="18">
        <v>625394000</v>
      </c>
      <c r="C6" s="18">
        <v>638760000</v>
      </c>
      <c r="D6" s="18">
        <v>588703000</v>
      </c>
      <c r="E6" s="18">
        <v>570001000</v>
      </c>
      <c r="F6" s="8" t="s">
        <v>85</v>
      </c>
    </row>
    <row r="7" spans="1:6" x14ac:dyDescent="0.25">
      <c r="A7" t="s">
        <v>86</v>
      </c>
      <c r="B7" s="18">
        <v>28781000</v>
      </c>
      <c r="C7" s="18">
        <v>28825000</v>
      </c>
      <c r="D7" s="18">
        <v>37058000</v>
      </c>
      <c r="E7" s="18">
        <v>35947000</v>
      </c>
      <c r="F7" s="8" t="s">
        <v>87</v>
      </c>
    </row>
    <row r="8" spans="1:6" x14ac:dyDescent="0.25">
      <c r="A8" t="s">
        <v>88</v>
      </c>
      <c r="B8" s="18">
        <v>60374000</v>
      </c>
      <c r="C8" s="18">
        <v>48519000</v>
      </c>
      <c r="D8" s="18">
        <v>49533000</v>
      </c>
      <c r="E8" s="18">
        <v>48253000</v>
      </c>
      <c r="F8" s="8" t="s">
        <v>89</v>
      </c>
    </row>
    <row r="9" spans="1:6" x14ac:dyDescent="0.25">
      <c r="A9" t="s">
        <v>90</v>
      </c>
      <c r="B9" s="18">
        <v>82547000</v>
      </c>
      <c r="C9" s="18">
        <v>865175000</v>
      </c>
      <c r="D9" s="18">
        <v>62741000</v>
      </c>
      <c r="E9" s="18">
        <v>578757000</v>
      </c>
      <c r="F9" s="8" t="s">
        <v>91</v>
      </c>
    </row>
    <row r="10" spans="1:6" x14ac:dyDescent="0.25">
      <c r="A10" t="s">
        <v>92</v>
      </c>
      <c r="B10" s="18">
        <v>29912000</v>
      </c>
      <c r="C10" s="18">
        <v>27671000</v>
      </c>
      <c r="D10" s="18">
        <v>537224000</v>
      </c>
      <c r="E10" s="18">
        <v>539379000</v>
      </c>
      <c r="F10" s="8" t="s">
        <v>93</v>
      </c>
    </row>
    <row r="11" spans="1:6" x14ac:dyDescent="0.25">
      <c r="A11" t="s">
        <v>94</v>
      </c>
      <c r="B11" s="18">
        <v>523957000</v>
      </c>
      <c r="C11" s="18">
        <v>413936000</v>
      </c>
      <c r="D11" s="18">
        <v>480468000</v>
      </c>
      <c r="E11" s="18">
        <v>314014000</v>
      </c>
      <c r="F11" s="8" t="s">
        <v>95</v>
      </c>
    </row>
    <row r="12" spans="1:6" x14ac:dyDescent="0.25">
      <c r="A12" t="s">
        <v>32</v>
      </c>
      <c r="B12" s="34">
        <v>141688949</v>
      </c>
      <c r="C12" s="34">
        <v>140528049</v>
      </c>
      <c r="D12" s="34">
        <v>138397134</v>
      </c>
      <c r="E12" s="34">
        <v>139226158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2026-09-19T01:06:39Z</dcterms:modified>
</cp:coreProperties>
</file>