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<sst xmlns="http://schemas.openxmlformats.org/spreadsheetml/2006/main" count="113" uniqueCount="101">
  <si>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AstraZeneca PLC (AZN.L)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</si>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</sst>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0.09818214247884915</v>
      </c>
    </row>
    <row r="7" spans="1:2" x14ac:dyDescent="0.25">
      <c r="A7" t="s">
        <v>5</v>
      </c>
      <c r="B7" s="6">
        <v>0.1771467341723433</v>
      </c>
    </row>
    <row r="8" spans="1:2" x14ac:dyDescent="0.25">
      <c r="A8" t="s">
        <v>6</v>
      </c>
      <c r="B8" s="6">
        <v>0.1748911465892598</v>
      </c>
    </row>
    <row r="9" spans="1:2" x14ac:dyDescent="0.25">
      <c r="A9" t="s">
        <v>7</v>
      </c>
      <c r="B9" s="6">
        <v>0.10332535942903867</v>
      </c>
    </row>
    <row r="10" spans="1:2" x14ac:dyDescent="0.25">
      <c r="A10" t="s">
        <v>8</v>
      </c>
      <c r="B10" s="6">
        <v>0.08144484776116481</v>
      </c>
    </row>
    <row r="11" spans="1:2" x14ac:dyDescent="0.25">
      <c r="A11" t="s">
        <v>9</v>
      </c>
      <c r="B11" s="6">
        <v>0.10808520939239893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11.547642687357177</v>
      </c>
    </row>
    <row r="14" spans="1:3" x14ac:dyDescent="0.25">
      <c r="A14" t="s">
        <v>12</v>
      </c>
      <c r="B14" s="6">
        <v>0.1150691679974166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0.46734999999999993</v>
      </c>
      <c r="C19" s="8" t="s">
        <v>19</v>
      </c>
    </row>
    <row r="20" spans="1:2" x14ac:dyDescent="0.25">
      <c r="A20" t="s">
        <v>20</v>
      </c>
      <c r="B20" s="10">
        <f>B17+B19*B18</f>
        <v>0.07070425</v>
      </c>
    </row>
    <row r="21" spans="1:3" x14ac:dyDescent="0.25">
      <c r="A21" t="s">
        <v>21</v>
      </c>
      <c r="B21" s="6">
        <v>0.05446906164048394</v>
      </c>
      <c r="C21" s="8" t="s">
        <v>22</v>
      </c>
    </row>
    <row r="22" spans="1:2" x14ac:dyDescent="0.25">
      <c r="A22" t="s">
        <v>23</v>
      </c>
      <c r="B22" s="11">
        <v>193861992448</v>
      </c>
    </row>
    <row r="23" spans="1:2" x14ac:dyDescent="0.25">
      <c r="A23" t="s">
        <v>24</v>
      </c>
      <c r="B23" s="11">
        <v>29149000000</v>
      </c>
    </row>
    <row r="24" spans="1:2" x14ac:dyDescent="0.25">
      <c r="A24" t="s">
        <v>25</v>
      </c>
      <c r="B24" s="10">
        <f>B22/(B22+B23)</f>
        <v>0.8692934384981191</v>
      </c>
    </row>
    <row r="25" spans="1:2" x14ac:dyDescent="0.25">
      <c r="A25" t="s">
        <v>26</v>
      </c>
      <c r="B25" s="10">
        <f>1-B24</f>
        <v>0.13070656150188087</v>
      </c>
    </row>
    <row r="26" spans="1:2" x14ac:dyDescent="0.25">
      <c r="A26" t="s">
        <v>27</v>
      </c>
      <c r="B26" s="12">
        <f>B24*B20+B25*B21*(1-B8)</f>
        <v>0.0673370731749339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58739000000</v>
      </c>
      <c r="C29" s="8" t="s">
        <v>30</v>
      </c>
    </row>
    <row r="30" spans="1:2" x14ac:dyDescent="0.25">
      <c r="A30" t="s">
        <v>31</v>
      </c>
      <c r="B30" s="11">
        <v>23430000000</v>
      </c>
    </row>
    <row r="31" spans="1:2" x14ac:dyDescent="0.25">
      <c r="A31" t="s">
        <v>32</v>
      </c>
      <c r="B31" s="13">
        <v>1562000000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0.09818214247884915</v>
      </c>
      <c r="C5" s="10">
        <f>Assumptions!B6</f>
        <v>0.09818214247884915</v>
      </c>
      <c r="D5" s="10">
        <f>Assumptions!B6</f>
        <v>0.09818214247884915</v>
      </c>
      <c r="E5" s="10">
        <f>Assumptions!B6</f>
        <v>0.09818214247884915</v>
      </c>
      <c r="F5" s="10">
        <f>Assumptions!B6</f>
        <v>0.09818214247884915</v>
      </c>
    </row>
    <row r="6" spans="1:6" x14ac:dyDescent="0.25">
      <c r="A6" t="s">
        <v>43</v>
      </c>
      <c r="B6" s="18">
        <f>Assumptions!B29*(1+B5)</f>
        <v>64506120867.06512</v>
      </c>
      <c r="C6" s="18">
        <f>B6*(1+C5)</f>
        <v>70839470016.79317</v>
      </c>
      <c r="D6" s="18">
        <f>C6*(1+D5)</f>
        <v>77794640955.10812</v>
      </c>
      <c r="E6" s="18">
        <f>D6*(1+E5)</f>
        <v>85432685477.45346</v>
      </c>
      <c r="F6" s="18">
        <f>E6*(1+F5)</f>
        <v>93820649575.3515</v>
      </c>
    </row>
    <row r="7" spans="1:6" x14ac:dyDescent="0.25">
      <c r="A7" t="s">
        <v>5</v>
      </c>
      <c r="B7" s="10">
        <f>Assumptions!B7</f>
        <v>0.1771467341723433</v>
      </c>
      <c r="C7" s="10">
        <f>Assumptions!B7</f>
        <v>0.1771467341723433</v>
      </c>
      <c r="D7" s="10">
        <f>Assumptions!B7</f>
        <v>0.1771467341723433</v>
      </c>
      <c r="E7" s="10">
        <f>Assumptions!B7</f>
        <v>0.1771467341723433</v>
      </c>
      <c r="F7" s="10">
        <f>Assumptions!B7</f>
        <v>0.1771467341723433</v>
      </c>
    </row>
    <row r="8" spans="1:6" x14ac:dyDescent="0.25">
      <c r="A8" t="s">
        <v>44</v>
      </c>
      <c r="B8" s="18">
        <f>B6*B7</f>
        <v>11427048645.727032</v>
      </c>
      <c r="C8" s="18">
        <f>C6*C7</f>
        <v>12548980763.974543</v>
      </c>
      <c r="D8" s="18">
        <f>D6*D7</f>
        <v>13781066581.30743</v>
      </c>
      <c r="E8" s="18">
        <f>E6*E7</f>
        <v>15134121223.903862</v>
      </c>
      <c r="F8" s="18">
        <f>F6*F7</f>
        <v>16620021670.201366</v>
      </c>
    </row>
    <row r="9" spans="1:6" x14ac:dyDescent="0.25">
      <c r="A9" t="s">
        <v>45</v>
      </c>
      <c r="B9" s="18">
        <f>B8*(1-Assumptions!B8)</f>
        <v>9428559005.944584</v>
      </c>
      <c r="C9" s="18">
        <f>C8*(1-Assumptions!B8)</f>
        <v>10354275129.63647</v>
      </c>
      <c r="D9" s="18">
        <f>D8*(1-Assumptions!B8)</f>
        <v>11370880045.679644</v>
      </c>
      <c r="E9" s="18">
        <f>E8*(1-Assumptions!B8)</f>
        <v>12487297410.434465</v>
      </c>
      <c r="F9" s="18">
        <f>F8*(1-Assumptions!B8)</f>
        <v>13713327023.961506</v>
      </c>
    </row>
    <row r="10" spans="1:6" x14ac:dyDescent="0.25">
      <c r="A10" t="s">
        <v>46</v>
      </c>
      <c r="B10" s="18">
        <f>B6*Assumptions!B9</f>
        <v>6665118123.962515</v>
      </c>
      <c r="C10" s="18">
        <f>C6*Assumptions!B9</f>
        <v>7319513701.247762</v>
      </c>
      <c r="D10" s="18">
        <f>D6*Assumptions!B9</f>
        <v>8038159238.33956</v>
      </c>
      <c r="E10" s="18">
        <f>E6*Assumptions!B9</f>
        <v>8827362933.94589</v>
      </c>
      <c r="F10" s="18">
        <f>F6*Assumptions!B9</f>
        <v>9694052339.239079</v>
      </c>
    </row>
    <row r="11" spans="1:6" x14ac:dyDescent="0.25">
      <c r="A11" t="s">
        <v>47</v>
      </c>
      <c r="B11" s="18">
        <f>-B6*Assumptions!B10</f>
        <v>-5253691193.681416</v>
      </c>
      <c r="C11" s="18">
        <f>-C6*Assumptions!B10</f>
        <v>-5769509850.999319</v>
      </c>
      <c r="D11" s="18">
        <f>-D6*Assumptions!B10</f>
        <v>-6335972689.223258</v>
      </c>
      <c r="E11" s="18">
        <f>-E6*Assumptions!B10</f>
        <v>-6958052062.538673</v>
      </c>
      <c r="F11" s="18">
        <f>-F6*Assumptions!B10</f>
        <v>-7641208521.518095</v>
      </c>
    </row>
    <row r="12" spans="1:6" x14ac:dyDescent="0.25">
      <c r="A12" t="s">
        <v>48</v>
      </c>
      <c r="B12" s="18">
        <f>-(B6-Assumptions!B29)*Assumptions!B11</f>
        <v>-623340466.5080065</v>
      </c>
      <c r="C12" s="18">
        <f>-(C6-B6)*Assumptions!B11</f>
        <v>-684541369.0035281</v>
      </c>
      <c r="D12" s="18">
        <f>-(D6-C6)*Assumptions!B11</f>
        <v>-751751107.2276999</v>
      </c>
      <c r="E12" s="18">
        <f>-(E6-D6)*Assumptions!B11</f>
        <v>-825559641.5461614</v>
      </c>
      <c r="F12" s="18">
        <f>-(F6-E6)*Assumptions!B11</f>
        <v>-906614855.8972343</v>
      </c>
    </row>
    <row r="13" spans="1:6" x14ac:dyDescent="0.25">
      <c r="A13" s="19" t="s">
        <v>49</v>
      </c>
      <c r="B13" s="20">
        <f>B9+B10+B11+B12</f>
        <v>10216645469.717676</v>
      </c>
      <c r="C13" s="20">
        <f>C9+C10+C11+C12</f>
        <v>11219737610.881384</v>
      </c>
      <c r="D13" s="20">
        <f>D9+D10+D11+D12</f>
        <v>12321315487.568245</v>
      </c>
      <c r="E13" s="20">
        <f>E9+E10+E11+E12</f>
        <v>13531048640.29552</v>
      </c>
      <c r="F13" s="20">
        <f>F9+F10+F11+F12</f>
        <v>14859555985.785255</v>
      </c>
    </row>
    <row r="14" spans="1:6" x14ac:dyDescent="0.25">
      <c r="A14" t="s">
        <v>50</v>
      </c>
      <c r="B14" s="21">
        <f>1/(1+Assumptions!$B$26)^(1-0.5*Assumptions!$B$32)</f>
        <v>0.9679417056974087</v>
      </c>
      <c r="C14" s="21">
        <f>1/(1+Assumptions!$B$26)^(2-0.5*Assumptions!$B$32)</f>
        <v>0.9068753723864751</v>
      </c>
      <c r="D14" s="21">
        <f>1/(1+Assumptions!$B$26)^(3-0.5*Assumptions!$B$32)</f>
        <v>0.8496616440848022</v>
      </c>
      <c r="E14" s="21">
        <f>1/(1+Assumptions!$B$26)^(4-0.5*Assumptions!$B$32)</f>
        <v>0.7960574643560092</v>
      </c>
      <c r="F14" s="21">
        <f>1/(1+Assumptions!$B$26)^(5-0.5*Assumptions!$B$32)</f>
        <v>0.7458351109158349</v>
      </c>
    </row>
    <row r="15" spans="1:6" x14ac:dyDescent="0.25">
      <c r="A15" s="19" t="s">
        <v>51</v>
      </c>
      <c r="B15" s="20">
        <f>B13*B14</f>
        <v>9889117242.46423</v>
      </c>
      <c r="C15" s="20">
        <f>C13*C14</f>
        <v>10174903723.946596</v>
      </c>
      <c r="D15" s="20">
        <f>D13*D14</f>
        <v>10468949174.454771</v>
      </c>
      <c r="E15" s="20">
        <f>E13*E14</f>
        <v>10771492270.671478</v>
      </c>
      <c r="F15" s="20">
        <f>F13*F14</f>
        <v>11082778586.818205</v>
      </c>
    </row>
    <row r="17" spans="1:2" x14ac:dyDescent="0.25">
      <c r="A17" s="22" t="s">
        <v>52</v>
      </c>
      <c r="B17" s="23">
        <f>SUM(B15:F15)</f>
        <v>52387240998.355286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14859555985.785255</v>
      </c>
    </row>
    <row r="5" spans="1:2" x14ac:dyDescent="0.25">
      <c r="A5" t="s">
        <v>56</v>
      </c>
      <c r="B5" s="18">
        <f>IF(Assumptions!$B$33=0,B4,B4-Forecast!F11-Forecast!F10-Forecast!F12)</f>
        <v>19975570591.651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0.21726063058491285</v>
      </c>
    </row>
    <row r="7" spans="1:2" x14ac:dyDescent="0.25">
      <c r="A7" t="s">
        <v>58</v>
      </c>
      <c r="B7" s="18">
        <f>-MAX(Forecast!F9,0)*B6</f>
        <v>-4339905063.035537</v>
      </c>
    </row>
    <row r="8" spans="1:2" x14ac:dyDescent="0.25">
      <c r="A8" t="s">
        <v>59</v>
      </c>
      <c r="B8" s="18">
        <f>IF(OR(Assumptions!$B$33=0,Assumptions!B12&lt;=0),B5,MAX(B5+B7,0))</f>
        <v>15635665528.615463</v>
      </c>
    </row>
    <row r="9" spans="1:2" x14ac:dyDescent="0.25">
      <c r="A9" t="s">
        <v>60</v>
      </c>
      <c r="B9" s="18">
        <f>B8*(1+Assumptions!B12)/(Assumptions!B26-Assumptions!B12)</f>
        <v>378546648716.36755</v>
      </c>
    </row>
    <row r="10" spans="1:2" x14ac:dyDescent="0.25">
      <c r="A10" t="s">
        <v>61</v>
      </c>
      <c r="B10" s="18">
        <f>B9/(1+Assumptions!B26)^(5-0.5*Assumptions!B32)</f>
        <v>282333381732.1896</v>
      </c>
    </row>
    <row r="11" spans="1:2" x14ac:dyDescent="0.25">
      <c r="A11" t="s">
        <v>62</v>
      </c>
      <c r="B11" s="18">
        <f>Forecast!B17+B10</f>
        <v>334720622730.54486</v>
      </c>
    </row>
    <row r="12" spans="1:2" x14ac:dyDescent="0.25">
      <c r="A12" t="s">
        <v>63</v>
      </c>
      <c r="B12" s="18">
        <f>-Assumptions!B30</f>
        <v>-23430000000</v>
      </c>
    </row>
    <row r="13" spans="1:2" x14ac:dyDescent="0.25">
      <c r="A13" t="s">
        <v>64</v>
      </c>
      <c r="B13" s="18">
        <f>B11+B12</f>
        <v>311290622730.54486</v>
      </c>
    </row>
    <row r="14" spans="1:2" x14ac:dyDescent="0.25">
      <c r="A14" s="19" t="s">
        <v>65</v>
      </c>
      <c r="B14" s="24">
        <f>B13/Assumptions!B31</f>
        <v>199.2897712743565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26314074009.440445</v>
      </c>
    </row>
    <row r="18" spans="1:2" x14ac:dyDescent="0.25">
      <c r="A18" t="s">
        <v>60</v>
      </c>
      <c r="B18" s="18">
        <f>B17*Assumptions!B13</f>
        <v>303865524309.6905</v>
      </c>
    </row>
    <row r="19" spans="1:2" x14ac:dyDescent="0.25">
      <c r="A19" t="s">
        <v>61</v>
      </c>
      <c r="B19" s="18">
        <f>B18/(1+Assumptions!B26)^(5-0.5*Assumptions!B32)</f>
        <v>226633577027.01633</v>
      </c>
    </row>
    <row r="20" spans="1:2" x14ac:dyDescent="0.25">
      <c r="A20" t="s">
        <v>62</v>
      </c>
      <c r="B20" s="18">
        <f>Forecast!B17+B19</f>
        <v>279020818025.3716</v>
      </c>
    </row>
    <row r="21" spans="1:2" x14ac:dyDescent="0.25">
      <c r="A21" t="s">
        <v>63</v>
      </c>
      <c r="B21" s="18">
        <f>-Assumptions!B30</f>
        <v>-23430000000</v>
      </c>
    </row>
    <row r="22" spans="1:2" x14ac:dyDescent="0.25">
      <c r="A22" t="s">
        <v>64</v>
      </c>
      <c r="B22" s="18">
        <f>B20+B21</f>
        <v>255590818025.37158</v>
      </c>
    </row>
    <row r="23" spans="1:2" x14ac:dyDescent="0.25">
      <c r="A23" s="19" t="s">
        <v>65</v>
      </c>
      <c r="B23" s="25">
        <f>B22/Assumptions!B31</f>
        <v>163.6304852915311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12500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14879.572192657279</v>
      </c>
    </row>
    <row r="29" spans="1:2" x14ac:dyDescent="0.25">
      <c r="A29" s="19" t="s">
        <v>73</v>
      </c>
      <c r="B29" s="12">
        <f>B28/B26-1</f>
        <v>0.19036577541258226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0.047337</v>
      </c>
      <c r="B5" s="31">
        <v>303.7025710055346</v>
      </c>
      <c r="C5" s="31">
        <v>340.3673890173014</v>
      </c>
      <c r="D5" s="31">
        <v>393.24456506404704</v>
      </c>
      <c r="E5" s="31">
        <v>476.3610571272386</v>
      </c>
      <c r="F5" s="31">
        <v>626.4834810978288</v>
      </c>
    </row>
    <row r="6" spans="1:6" x14ac:dyDescent="0.25">
      <c r="A6" s="30">
        <v>0.057337</v>
      </c>
      <c r="B6" s="31">
        <v>226.82373789302542</v>
      </c>
      <c r="C6" s="31">
        <v>243.95320214678713</v>
      </c>
      <c r="D6" s="31">
        <v>266.24612655592506</v>
      </c>
      <c r="E6" s="31">
        <v>296.53573723635014</v>
      </c>
      <c r="F6" s="31">
        <v>340.19206123150144</v>
      </c>
    </row>
    <row r="7" spans="1:6" x14ac:dyDescent="0.25">
      <c r="A7" s="30">
        <v>0.067337</v>
      </c>
      <c r="B7" s="31">
        <v>179.4028658722467</v>
      </c>
      <c r="C7" s="31">
        <v>188.33997902222902</v>
      </c>
      <c r="D7" s="32">
        <v>199.29014532682262</v>
      </c>
      <c r="E7" s="31">
        <v>213.06210135616377</v>
      </c>
      <c r="F7" s="31">
        <v>230.96477638233117</v>
      </c>
    </row>
    <row r="8" spans="1:6" x14ac:dyDescent="0.25">
      <c r="A8" s="30">
        <v>0.077337</v>
      </c>
      <c r="B8" s="31">
        <v>147.25943316020036</v>
      </c>
      <c r="C8" s="31">
        <v>152.17675857887778</v>
      </c>
      <c r="D8" s="31">
        <v>157.9577001410284</v>
      </c>
      <c r="E8" s="31">
        <v>164.87591781986782</v>
      </c>
      <c r="F8" s="31">
        <v>173.33434856771498</v>
      </c>
    </row>
    <row r="9" spans="1:6" x14ac:dyDescent="0.25">
      <c r="A9" s="30">
        <v>0.087337</v>
      </c>
      <c r="B9" s="31">
        <v>124.05449075323733</v>
      </c>
      <c r="C9" s="31">
        <v>126.79578987791804</v>
      </c>
      <c r="D9" s="31">
        <v>129.9156869717384</v>
      </c>
      <c r="E9" s="31">
        <v>133.51322749464754</v>
      </c>
      <c r="F9" s="31">
        <v>137.7253060228788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58739000000</v>
      </c>
      <c r="C5" s="18">
        <v>54073000000</v>
      </c>
      <c r="D5" s="18">
        <v>45811000000</v>
      </c>
      <c r="E5" s="18">
        <v>44351000000</v>
      </c>
      <c r="F5" s="8" t="s">
        <v>84</v>
      </c>
    </row>
    <row r="6" spans="1:6" x14ac:dyDescent="0.25">
      <c r="A6" t="s">
        <v>44</v>
      </c>
      <c r="B6" s="18">
        <v>13327000000</v>
      </c>
      <c r="C6" s="18">
        <v>10251000000</v>
      </c>
      <c r="D6" s="18">
        <v>8722000000</v>
      </c>
      <c r="E6" s="18">
        <v>4512000000</v>
      </c>
      <c r="F6" s="8" t="s">
        <v>85</v>
      </c>
    </row>
    <row r="7" spans="1:6" x14ac:dyDescent="0.25">
      <c r="A7" t="s">
        <v>86</v>
      </c>
      <c r="B7" s="18">
        <v>5490000000</v>
      </c>
      <c r="C7" s="18">
        <v>5065000000</v>
      </c>
      <c r="D7" s="18">
        <v>4934000000</v>
      </c>
      <c r="E7" s="18">
        <v>5254000000</v>
      </c>
      <c r="F7" s="8" t="s">
        <v>87</v>
      </c>
    </row>
    <row r="8" spans="1:6" x14ac:dyDescent="0.25">
      <c r="A8" t="s">
        <v>88</v>
      </c>
      <c r="B8" s="18">
        <v>5905000000</v>
      </c>
      <c r="C8" s="18">
        <v>4586000000</v>
      </c>
      <c r="D8" s="18">
        <v>3778000000</v>
      </c>
      <c r="E8" s="18">
        <v>2571000000</v>
      </c>
      <c r="F8" s="8" t="s">
        <v>89</v>
      </c>
    </row>
    <row r="9" spans="1:6" x14ac:dyDescent="0.25">
      <c r="A9" t="s">
        <v>90</v>
      </c>
      <c r="B9" s="18">
        <v>1137000000</v>
      </c>
      <c r="C9" s="18">
        <v>893000000</v>
      </c>
      <c r="D9" s="18">
        <v>-300000000</v>
      </c>
      <c r="E9" s="18">
        <v>-3757000000</v>
      </c>
      <c r="F9" s="8" t="s">
        <v>91</v>
      </c>
    </row>
    <row r="10" spans="1:6" x14ac:dyDescent="0.25">
      <c r="A10" t="s">
        <v>92</v>
      </c>
      <c r="B10" s="18">
        <v>29149000000</v>
      </c>
      <c r="C10" s="18">
        <v>30114000000</v>
      </c>
      <c r="D10" s="18">
        <v>28407000000</v>
      </c>
      <c r="E10" s="18">
        <v>29143000000</v>
      </c>
      <c r="F10" s="8" t="s">
        <v>93</v>
      </c>
    </row>
    <row r="11" spans="1:6" x14ac:dyDescent="0.25">
      <c r="A11" t="s">
        <v>94</v>
      </c>
      <c r="B11" s="18">
        <v>5719000000</v>
      </c>
      <c r="C11" s="18">
        <v>5525000000</v>
      </c>
      <c r="D11" s="18">
        <v>5860000000</v>
      </c>
      <c r="E11" s="18">
        <v>6243000000</v>
      </c>
      <c r="F11" s="8" t="s">
        <v>95</v>
      </c>
    </row>
    <row r="12" spans="1:6" x14ac:dyDescent="0.25">
      <c r="A12" t="s">
        <v>32</v>
      </c>
      <c r="B12" s="34">
        <v>1562000000</v>
      </c>
      <c r="C12" s="34">
        <v>1563000000</v>
      </c>
      <c r="D12" s="34">
        <v>1562000000</v>
      </c>
      <c r="E12" s="34">
        <v>1560000000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2026-09-19T02:00:22Z</dcterms:modified>
</cp:coreProperties>
</file>