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<sst xmlns="http://schemas.openxmlformats.org/spreadsheetml/2006/main" count="120" uniqueCount="107">
  <si>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AutoZone, Inc. (AZO)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</si>
  <si>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</si>
  <si>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</si>
  <si>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</si>
  <si>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</si>
  <si>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</si>
  <si>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</si>
  <si>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</si>
  <si>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</si>
  <si>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</si>
  <si>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</si>
  <si>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</si>
  <si>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</si>
  <si>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</si>
  <si>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</si>
  <si>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</si>
  <si>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</si>
  <si>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</si>
  <si>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</si>
  <si>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</si>
  <si>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</si>
  <si>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</si>
  <si>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</si>
  <si>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</si>
  <si>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7.7x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</si>
  <si>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</si>
  <si>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</si>
  <si>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</si>
  <si>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</si>
  <si>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</si>
  <si>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</si>
  <si>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</si>
  <si>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2026-08-31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</si>
  <si>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</si>
  <si>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</si>
  <si>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</si>
  <si>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</si>
  <si>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</si>
  <si>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</si>
  <si>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</si>
  <si>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</si>
  <si>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</si>
  <si>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</si>
  <si>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</si>
  <si>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</si>
  <si>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</si>
  <si>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</si>
  <si>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</si>
  <si>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</si>
  <si>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</si>
  <si>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</si>
  <si>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</si>
  <si>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</si>
  <si>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</si>
  <si>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</si>
  <si>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</si>
  <si>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</si>
  <si>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</si>
  <si>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</si>
  <si>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</si>
  <si>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</si>
  <si>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</si>
  <si>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</si>
  <si>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</si>
  <si>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</si>
  <si>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</si>
  <si>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</si>
  <si>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</si>
  <si>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</si>
  <si>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</si>
  <si>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</si>
  <si>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</si>
  <si>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</si>
  <si>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</si>
  <si>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</si>
  <si>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</si>
  <si>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</si>
  <si>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</si>
  <si>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</si>
  <si>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</si>
  <si>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</si>
  <si>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</si>
  <si>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</si>
  <si>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</si>
  <si>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</si>
  <si>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</si>
  <si>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2026-08-31</t>
  </si>
  <si>
    <t>2025-08-31</t>
  </si>
  <si>
    <t>2024-08-31</t>
  </si>
  <si>
    <t>2023-08-31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</si>
  <si>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</si>
  <si>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</si>
  <si>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</si>
  <si>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</si>
  <si>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</si>
  <si>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</si>
  <si>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</si>
  <si>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</si>
  <si>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</si>
  <si>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</si>
  <si>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</si>
  <si>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</si>
  <si>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</si>
  <si>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ordinarySharesNumber</t>
  </si>
  <si>
    <t>Model notes</t>
  </si>
  <si>
    <t>Adjusted: Capital expenditure runs at 6.1% of revenue against depreciation of 3.1%.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</si>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</sst>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0.0728655575580468</v>
      </c>
    </row>
    <row r="7" spans="1:2" x14ac:dyDescent="0.25">
      <c r="A7" t="s">
        <v>4</v>
      </c>
      <c r="B7" s="5">
        <v>0.19439818473701143</v>
      </c>
    </row>
    <row r="8" spans="1:2" x14ac:dyDescent="0.25">
      <c r="A8" t="s">
        <v>5</v>
      </c>
      <c r="B8" s="5">
        <v>0.20256089262082672</v>
      </c>
    </row>
    <row r="9" spans="1:2" x14ac:dyDescent="0.25">
      <c r="A9" t="s">
        <v>6</v>
      </c>
      <c r="B9" s="5">
        <v>0.031064148759313112</v>
      </c>
    </row>
    <row r="10" spans="1:3" x14ac:dyDescent="0.25">
      <c r="A10" t="s">
        <v>7</v>
      </c>
      <c r="B10" s="5">
        <v>0.06105419541727629</v>
      </c>
      <c r="C10" s="6" t="s">
        <v>8</v>
      </c>
    </row>
    <row r="11" spans="1:2" x14ac:dyDescent="0.25">
      <c r="A11" t="s">
        <v>9</v>
      </c>
      <c r="B11" s="5">
        <v>-0.026415639564689244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14.722674402432718</v>
      </c>
    </row>
    <row r="14" spans="1:3" x14ac:dyDescent="0.25">
      <c r="A14" t="s">
        <v>12</v>
      </c>
      <c r="B14" s="5">
        <v>0.6</v>
      </c>
      <c r="C14" s="6" t="s">
        <v>13</v>
      </c>
    </row>
    <row r="15" spans="1:3" x14ac:dyDescent="0.25">
      <c r="A15" t="s">
        <v>14</v>
      </c>
      <c r="B15" s="5">
        <v>0.031064148759313112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0.5799099999999999</v>
      </c>
      <c r="C19" s="6" t="s">
        <v>21</v>
      </c>
    </row>
    <row r="20" spans="1:2" x14ac:dyDescent="0.25">
      <c r="A20" t="s">
        <v>22</v>
      </c>
      <c r="B20" s="9">
        <f>B17+B19*B18</f>
        <v>0.073470193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52355051520</v>
      </c>
    </row>
    <row r="23" spans="1:2" x14ac:dyDescent="0.25">
      <c r="A23" t="s">
        <v>26</v>
      </c>
      <c r="B23" s="10">
        <v>12862414000</v>
      </c>
    </row>
    <row r="24" spans="1:2" x14ac:dyDescent="0.25">
      <c r="A24" t="s">
        <v>27</v>
      </c>
      <c r="B24" s="9">
        <f>B22/(B22+B23)</f>
        <v>0.8027765431017013</v>
      </c>
    </row>
    <row r="25" spans="1:2" x14ac:dyDescent="0.25">
      <c r="A25" t="s">
        <v>28</v>
      </c>
      <c r="B25" s="9">
        <f>1-B24</f>
        <v>0.19722345689829868</v>
      </c>
    </row>
    <row r="26" spans="1:2" x14ac:dyDescent="0.25">
      <c r="A26" t="s">
        <v>29</v>
      </c>
      <c r="B26" s="11">
        <f>B24*B20+B25*B21*(1-B8)</f>
        <v>0.06754212764527459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20338555000</v>
      </c>
      <c r="C29" s="6" t="s">
        <v>32</v>
      </c>
    </row>
    <row r="30" spans="1:2" x14ac:dyDescent="0.25">
      <c r="A30" t="s">
        <v>33</v>
      </c>
      <c r="B30" s="10">
        <v>12536299000</v>
      </c>
    </row>
    <row r="31" spans="1:2" x14ac:dyDescent="0.25">
      <c r="A31" t="s">
        <v>34</v>
      </c>
      <c r="B31" s="12">
        <v>16173000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0.0728655575580468</v>
      </c>
      <c r="C5" s="5">
        <v>0.07029939272593877</v>
      </c>
      <c r="D5" s="5">
        <v>0.06463696863519643</v>
      </c>
      <c r="E5" s="5">
        <v>0.058974544544454076</v>
      </c>
      <c r="F5" s="5">
        <v>0.05331212045371173</v>
      </c>
      <c r="G5" s="5">
        <v>0.04764969636296938</v>
      </c>
      <c r="H5" s="5">
        <v>0.04198727227222704</v>
      </c>
      <c r="I5" s="5">
        <v>0.036324848181484695</v>
      </c>
      <c r="J5" s="5">
        <v>0.030662424090742345</v>
      </c>
      <c r="K5" s="5">
        <v>0.025</v>
      </c>
    </row>
    <row r="6" spans="1:11" x14ac:dyDescent="0.25">
      <c r="A6" t="s">
        <v>50</v>
      </c>
      <c r="B6" s="18">
        <f>Assumptions!B29*(1+B5)</f>
        <v>21820535150</v>
      </c>
      <c r="C6" s="18">
        <f>B6*(1+C5)</f>
        <v>23354505520</v>
      </c>
      <c r="D6" s="18">
        <f>C6*(1+D5)</f>
        <v>24864069960.786762</v>
      </c>
      <c r="E6" s="18">
        <f>D6*(1+E5)</f>
        <v>26330417162.2456</v>
      </c>
      <c r="F6" s="18">
        <f>E6*(1+F5)</f>
        <v>27734147533.59572</v>
      </c>
      <c r="G6" s="18">
        <f>F6*(1+G5)</f>
        <v>29055671242.457348</v>
      </c>
      <c r="H6" s="18">
        <f>G6*(1+H5)</f>
        <v>30275639621.96672</v>
      </c>
      <c r="I6" s="18">
        <f>H6*(1+I5)</f>
        <v>31375397634.832</v>
      </c>
      <c r="J6" s="18">
        <f>I6*(1+J5)</f>
        <v>32337443383.126892</v>
      </c>
      <c r="K6" s="18">
        <f>J6*(1+K5)</f>
        <v>33145879467.705063</v>
      </c>
    </row>
    <row r="7" spans="1:11" x14ac:dyDescent="0.25">
      <c r="A7" t="s">
        <v>4</v>
      </c>
      <c r="B7" s="9">
        <f>Assumptions!B7</f>
        <v>0.19439818473701143</v>
      </c>
      <c r="C7" s="9">
        <f>Assumptions!B7</f>
        <v>0.19439818473701143</v>
      </c>
      <c r="D7" s="9">
        <f>Assumptions!B7</f>
        <v>0.19439818473701143</v>
      </c>
      <c r="E7" s="9">
        <f>Assumptions!B7</f>
        <v>0.19439818473701143</v>
      </c>
      <c r="F7" s="9">
        <f>Assumptions!B7</f>
        <v>0.19439818473701143</v>
      </c>
      <c r="G7" s="9">
        <f>Assumptions!B7</f>
        <v>0.19439818473701143</v>
      </c>
      <c r="H7" s="9">
        <f>Assumptions!B7</f>
        <v>0.19439818473701143</v>
      </c>
      <c r="I7" s="9">
        <f>Assumptions!B7</f>
        <v>0.19439818473701143</v>
      </c>
      <c r="J7" s="9">
        <f>Assumptions!B7</f>
        <v>0.19439818473701143</v>
      </c>
      <c r="K7" s="9">
        <f>Assumptions!B7</f>
        <v>0.19439818473701143</v>
      </c>
    </row>
    <row r="8" spans="1:11" x14ac:dyDescent="0.25">
      <c r="A8" t="s">
        <v>51</v>
      </c>
      <c r="B8" s="18">
        <f>B6*B7</f>
        <v>4241872423.1501513</v>
      </c>
      <c r="C8" s="18">
        <f>C6*C7</f>
        <v>4540073478.518513</v>
      </c>
      <c r="D8" s="18">
        <f>D6*D7</f>
        <v>4833530065.551002</v>
      </c>
      <c r="E8" s="18">
        <f>E6*E7</f>
        <v>5118585299.7087965</v>
      </c>
      <c r="F8" s="18">
        <f>F6*F7</f>
        <v>5391467935.75947</v>
      </c>
      <c r="G8" s="18">
        <f>G6*G7</f>
        <v>5648369745.849093</v>
      </c>
      <c r="H8" s="18">
        <f>H6*H7</f>
        <v>5885529384.262269</v>
      </c>
      <c r="I8" s="18">
        <f>I6*I7</f>
        <v>6099320345.613262</v>
      </c>
      <c r="J8" s="18">
        <f>J6*J7</f>
        <v>6286340292.71575</v>
      </c>
      <c r="K8" s="18">
        <f>K6*K7</f>
        <v>6443498800.033643</v>
      </c>
    </row>
    <row r="9" spans="1:11" x14ac:dyDescent="0.25">
      <c r="A9" t="s">
        <v>52</v>
      </c>
      <c r="B9" s="18">
        <f>B8*(1-Assumptions!B8)</f>
        <v>3382634958.7331877</v>
      </c>
      <c r="C9" s="18">
        <f>C8*(1-Assumptions!B8)</f>
        <v>3620432142.1456614</v>
      </c>
      <c r="D9" s="18">
        <f>D8*(1-Assumptions!B8)</f>
        <v>3854445900.963388</v>
      </c>
      <c r="E9" s="18">
        <f>E8*(1-Assumptions!B8)</f>
        <v>4081760092.443941</v>
      </c>
      <c r="F9" s="18">
        <f>F8*(1-Assumptions!B8)</f>
        <v>4299367378.155466</v>
      </c>
      <c r="G9" s="18">
        <f>G8*(1-Assumptions!B8)</f>
        <v>4504230928.27743</v>
      </c>
      <c r="H9" s="18">
        <f>H8*(1-Assumptions!B8)</f>
        <v>4693351298.639999</v>
      </c>
      <c r="I9" s="18">
        <f>I8*(1-Assumptions!B8)</f>
        <v>4863836572.025471</v>
      </c>
      <c r="J9" s="18">
        <f>J8*(1-Assumptions!B8)</f>
        <v>5012973591.704979</v>
      </c>
      <c r="K9" s="18">
        <f>K8*(1-Assumptions!B8)</f>
        <v>5138297931.497602</v>
      </c>
    </row>
    <row r="10" spans="1:11" x14ac:dyDescent="0.25">
      <c r="A10" t="s">
        <v>53</v>
      </c>
      <c r="B10" s="18">
        <f>B6*Assumptions!B9</f>
        <v>677836349.9074206</v>
      </c>
      <c r="C10" s="18">
        <f>C6*Assumptions!B9</f>
        <v>725487833.6734792</v>
      </c>
      <c r="D10" s="18">
        <f>D6*Assumptions!B9</f>
        <v>772381168.0238485</v>
      </c>
      <c r="E10" s="18">
        <f>E6*Assumptions!B9</f>
        <v>817931995.6227684</v>
      </c>
      <c r="F10" s="18">
        <f>F6*Assumptions!B9</f>
        <v>861537684.6963543</v>
      </c>
      <c r="G10" s="18">
        <f>G6*Assumptions!B9</f>
        <v>902589693.7773911</v>
      </c>
      <c r="H10" s="18">
        <f>H6*Assumptions!B9</f>
        <v>940486973.0001284</v>
      </c>
      <c r="I10" s="18">
        <f>I6*Assumptions!B9</f>
        <v>974650019.5110221</v>
      </c>
      <c r="J10" s="18">
        <f>J6*Assumptions!B9</f>
        <v>1004535151.7493192</v>
      </c>
      <c r="K10" s="18">
        <f>K6*Assumptions!B9</f>
        <v>1029648530.5430522</v>
      </c>
    </row>
    <row r="11" spans="1:11" x14ac:dyDescent="0.25">
      <c r="A11" t="s">
        <v>54</v>
      </c>
      <c r="B11" s="18">
        <f>-B6*B19</f>
        <v>-1332235217.1576462</v>
      </c>
      <c r="C11" s="18">
        <f>-C6*C19</f>
        <v>-1364829280.4516723</v>
      </c>
      <c r="D11" s="18">
        <f>-D6*D19</f>
        <v>-1388039629.4345453</v>
      </c>
      <c r="E11" s="18">
        <f>-E6*E19</f>
        <v>-1401056734.1640766</v>
      </c>
      <c r="F11" s="18">
        <f>-F6*F19</f>
        <v>-1403238031.6351795</v>
      </c>
      <c r="G11" s="18">
        <f>-G6*G19</f>
        <v>-1394134714.7051766</v>
      </c>
      <c r="H11" s="18">
        <f>-H6*H19</f>
        <v>-1373513790.694282</v>
      </c>
      <c r="I11" s="18">
        <f>-I6*I19</f>
        <v>-1341374272.6372013</v>
      </c>
      <c r="J11" s="18">
        <f>-J6*J19</f>
        <v>-1297956555.4264536</v>
      </c>
      <c r="K11" s="18">
        <f>-K6*K19</f>
        <v>-1243744277.6887856</v>
      </c>
    </row>
    <row r="12" spans="1:11" x14ac:dyDescent="0.25">
      <c r="A12" t="s">
        <v>55</v>
      </c>
      <c r="B12" s="18">
        <f>-(B6-Assumptions!B29)*Assumptions!B11</f>
        <v>39147453.4844241</v>
      </c>
      <c r="C12" s="18">
        <f>-(C6-B6)*Assumptions!B11</f>
        <v>40520808.396833</v>
      </c>
      <c r="D12" s="18">
        <f>-(D6-C6)*Assumptions!B11</f>
        <v>39876110.16749479</v>
      </c>
      <c r="E12" s="18">
        <f>-(E6-D6)*Assumptions!B11</f>
        <v>38734499.15042747</v>
      </c>
      <c r="F12" s="18">
        <f>-(F6-E6)*Assumptions!B11</f>
        <v>37080435.53559207</v>
      </c>
      <c r="G12" s="18">
        <f>-(G6-F6)*Assumptions!B11</f>
        <v>34908893.96948013</v>
      </c>
      <c r="H12" s="18">
        <f>-(H6-G6)*Assumptions!B11</f>
        <v>32226244.99343761</v>
      </c>
      <c r="I12" s="18">
        <f>-(I6-H6)*Assumptions!B11</f>
        <v>29050811.27622812</v>
      </c>
      <c r="J12" s="18">
        <f>-(J6-I6)*Assumptions!B11</f>
        <v>25413053.7316996</v>
      </c>
      <c r="K12" s="18">
        <f>-(K6-J6)*Assumptions!B11</f>
        <v>21355356.22130559</v>
      </c>
    </row>
    <row r="13" spans="1:11" x14ac:dyDescent="0.25">
      <c r="A13" s="19" t="s">
        <v>56</v>
      </c>
      <c r="B13" s="20">
        <f>B9+B10+B11+B12</f>
        <v>2767383544.9673862</v>
      </c>
      <c r="C13" s="20">
        <f>C9+C10+C11+C12</f>
        <v>3021611503.764301</v>
      </c>
      <c r="D13" s="20">
        <f>D9+D10+D11+D12</f>
        <v>3278663549.7201853</v>
      </c>
      <c r="E13" s="20">
        <f>E9+E10+E11+E12</f>
        <v>3537369853.05306</v>
      </c>
      <c r="F13" s="20">
        <f>F9+F10+F11+F12</f>
        <v>3794747466.7522326</v>
      </c>
      <c r="G13" s="20">
        <f>G9+G10+G11+G12</f>
        <v>4047594801.3191247</v>
      </c>
      <c r="H13" s="20">
        <f>H9+H10+H11+H12</f>
        <v>4292550725.939284</v>
      </c>
      <c r="I13" s="20">
        <f>I9+I10+I11+I12</f>
        <v>4526163130.17552</v>
      </c>
      <c r="J13" s="20">
        <f>J9+J10+J11+J12</f>
        <v>4744965241.759544</v>
      </c>
      <c r="K13" s="20">
        <f>K9+K10+K11+K12</f>
        <v>4945557540.573175</v>
      </c>
    </row>
    <row r="14" spans="1:11" x14ac:dyDescent="0.25">
      <c r="A14" t="s">
        <v>57</v>
      </c>
      <c r="B14" s="21">
        <f>1/(1+Assumptions!$B$26)^(1-0.5*Assumptions!$B$32)</f>
        <v>0.9678487396679423</v>
      </c>
      <c r="C14" s="21">
        <f>1/(1+Assumptions!$B$26)^(2-0.5*Assumptions!$B$32)</f>
        <v>0.9066140947549954</v>
      </c>
      <c r="D14" s="21">
        <f>1/(1+Assumptions!$B$26)^(3-0.5*Assumptions!$B$32)</f>
        <v>0.8492536933926483</v>
      </c>
      <c r="E14" s="21">
        <f>1/(1+Assumptions!$B$26)^(4-0.5*Assumptions!$B$32)</f>
        <v>0.7955224167742074</v>
      </c>
      <c r="F14" s="21">
        <f>1/(1+Assumptions!$B$26)^(5-0.5*Assumptions!$B$32)</f>
        <v>0.7451906544699335</v>
      </c>
      <c r="G14" s="21">
        <f>1/(1+Assumptions!$B$26)^(6-0.5*Assumptions!$B$32)</f>
        <v>0.6980433232303759</v>
      </c>
      <c r="H14" s="21">
        <f>1/(1+Assumptions!$B$26)^(7-0.5*Assumptions!$B$32)</f>
        <v>0.6538789478688595</v>
      </c>
      <c r="I14" s="21">
        <f>1/(1+Assumptions!$B$26)^(8-0.5*Assumptions!$B$32)</f>
        <v>0.6125088002954502</v>
      </c>
      <c r="J14" s="21">
        <f>1/(1+Assumptions!$B$26)^(9-0.5*Assumptions!$B$32)</f>
        <v>0.5737560930232217</v>
      </c>
      <c r="K14" s="21">
        <f>1/(1+Assumptions!$B$26)^(10-0.5*Assumptions!$B$32)</f>
        <v>0.5374552237004279</v>
      </c>
    </row>
    <row r="15" spans="1:11" x14ac:dyDescent="0.25">
      <c r="A15" s="19" t="s">
        <v>58</v>
      </c>
      <c r="B15" s="20">
        <f>B13*B14</f>
        <v>2678408676.174487</v>
      </c>
      <c r="C15" s="20">
        <f>C13*C14</f>
        <v>2739435578.186552</v>
      </c>
      <c r="D15" s="20">
        <f>D13*D14</f>
        <v>2784417128.9917183</v>
      </c>
      <c r="E15" s="20">
        <f>E13*E14</f>
        <v>2814057014.5249934</v>
      </c>
      <c r="F15" s="20">
        <f>F13*F14</f>
        <v>2827810348.2972183</v>
      </c>
      <c r="G15" s="20">
        <f>G13*G14</f>
        <v>2825396526.202795</v>
      </c>
      <c r="H15" s="20">
        <f>H13*H14</f>
        <v>2806808552.350888</v>
      </c>
      <c r="I15" s="20">
        <f>I13*I14</f>
        <v>2772314748.8053074</v>
      </c>
      <c r="J15" s="20">
        <f>J13*J14</f>
        <v>2722452718.642943</v>
      </c>
      <c r="K15" s="20">
        <f>K13*K14</f>
        <v>2658015734.2920938</v>
      </c>
    </row>
    <row r="17" spans="1:2" x14ac:dyDescent="0.25">
      <c r="A17" s="22" t="s">
        <v>59</v>
      </c>
      <c r="B17" s="23">
        <f>SUM(B15:K15)</f>
        <v>27629117026.468998</v>
      </c>
    </row>
    <row r="19" spans="1:11" x14ac:dyDescent="0.25">
      <c r="A19" t="s">
        <v>7</v>
      </c>
      <c r="B19" s="9">
        <f>Assumptions!$B$10+($B$20-Assumptions!$B$10)*0/9</f>
        <v>0.06105419541727629</v>
      </c>
      <c r="C19" s="9">
        <f>Assumptions!$B$10+($B$20-Assumptions!$B$10)*1/9</f>
        <v>0.05843965650580267</v>
      </c>
      <c r="D19" s="9">
        <f>Assumptions!$B$10+($B$20-Assumptions!$B$10)*2/9</f>
        <v>0.055825117594329045</v>
      </c>
      <c r="E19" s="9">
        <f>Assumptions!$B$10+($B$20-Assumptions!$B$10)*3/9</f>
        <v>0.053210578682855426</v>
      </c>
      <c r="F19" s="9">
        <f>Assumptions!$B$10+($B$20-Assumptions!$B$10)*4/9</f>
        <v>0.0505960397713818</v>
      </c>
      <c r="G19" s="9">
        <f>Assumptions!$B$10+($B$20-Assumptions!$B$10)*5/9</f>
        <v>0.04798150085990818</v>
      </c>
      <c r="H19" s="9">
        <f>Assumptions!$B$10+($B$20-Assumptions!$B$10)*6/9</f>
        <v>0.045366961948434564</v>
      </c>
      <c r="I19" s="9">
        <f>Assumptions!$B$10+($B$20-Assumptions!$B$10)*7/9</f>
        <v>0.04275242303696094</v>
      </c>
      <c r="J19" s="9">
        <f>Assumptions!$B$10+($B$20-Assumptions!$B$10)*8/9</f>
        <v>0.040137884125487314</v>
      </c>
      <c r="K19" s="9">
        <f>Assumptions!$B$10+($B$20-Assumptions!$B$10)*9/9</f>
        <v>0.037523345214013695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0.037523345214013695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4945557540.573175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5138297931.497602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0.04166666666666667</v>
      </c>
    </row>
    <row r="7" spans="1:2" x14ac:dyDescent="0.25">
      <c r="A7" t="s">
        <v>66</v>
      </c>
      <c r="B7" s="18">
        <f>-MAX(B5,0)*B6</f>
        <v>-214095747.14573345</v>
      </c>
    </row>
    <row r="8" spans="1:2" x14ac:dyDescent="0.25">
      <c r="A8" t="s">
        <v>67</v>
      </c>
      <c r="B8" s="18">
        <f>IF(OR(Assumptions!$B$33=0,Assumptions!B12&lt;=0),B5,MAX(B5+B7,0))</f>
        <v>4924202184.351869</v>
      </c>
    </row>
    <row r="9" spans="1:2" x14ac:dyDescent="0.25">
      <c r="A9" t="s">
        <v>68</v>
      </c>
      <c r="B9" s="18">
        <f>B8*(1+Assumptions!B12)/(Assumptions!B26-Assumptions!B12)</f>
        <v>118642567222.92308</v>
      </c>
    </row>
    <row r="10" spans="1:2" x14ac:dyDescent="0.25">
      <c r="A10" t="s">
        <v>69</v>
      </c>
      <c r="B10" s="18">
        <f>B9/(1+Assumptions!B26)^(10-0.5*Assumptions!B32)</f>
        <v>63765067507.18918</v>
      </c>
    </row>
    <row r="11" spans="1:2" x14ac:dyDescent="0.25">
      <c r="A11" t="s">
        <v>70</v>
      </c>
      <c r="B11" s="18">
        <f>Forecast!B17+B10</f>
        <v>91394184533.65817</v>
      </c>
    </row>
    <row r="12" spans="1:2" x14ac:dyDescent="0.25">
      <c r="A12" t="s">
        <v>71</v>
      </c>
      <c r="B12" s="18">
        <f>-Assumptions!B30</f>
        <v>-12536299000</v>
      </c>
    </row>
    <row r="13" spans="1:2" x14ac:dyDescent="0.25">
      <c r="A13" t="s">
        <v>72</v>
      </c>
      <c r="B13" s="18">
        <f>B11+B12</f>
        <v>78857885533.65817</v>
      </c>
    </row>
    <row r="14" spans="1:2" x14ac:dyDescent="0.25">
      <c r="A14" s="19" t="s">
        <v>73</v>
      </c>
      <c r="B14" s="24">
        <f>B13/Assumptions!B31</f>
        <v>4875.897207299708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7473147330.5766945</v>
      </c>
    </row>
    <row r="18" spans="1:2" x14ac:dyDescent="0.25">
      <c r="A18" t="s">
        <v>68</v>
      </c>
      <c r="B18" s="18">
        <f>B17*Assumptions!B13</f>
        <v>110024714909.4899</v>
      </c>
    </row>
    <row r="19" spans="1:2" x14ac:dyDescent="0.25">
      <c r="A19" t="s">
        <v>69</v>
      </c>
      <c r="B19" s="18">
        <f>B18/(1+Assumptions!B26)^(10-0.5*Assumptions!B32)</f>
        <v>59133357764.25569</v>
      </c>
    </row>
    <row r="20" spans="1:2" x14ac:dyDescent="0.25">
      <c r="A20" t="s">
        <v>70</v>
      </c>
      <c r="B20" s="18">
        <f>Forecast!B17+B19</f>
        <v>86762474790.72469</v>
      </c>
    </row>
    <row r="21" spans="1:2" x14ac:dyDescent="0.25">
      <c r="A21" t="s">
        <v>71</v>
      </c>
      <c r="B21" s="18">
        <f>-Assumptions!B30</f>
        <v>-12536299000</v>
      </c>
    </row>
    <row r="22" spans="1:2" x14ac:dyDescent="0.25">
      <c r="A22" t="s">
        <v>72</v>
      </c>
      <c r="B22" s="18">
        <f>B20+B21</f>
        <v>74226175790.72469</v>
      </c>
    </row>
    <row r="23" spans="1:2" x14ac:dyDescent="0.25">
      <c r="A23" s="19" t="s">
        <v>73</v>
      </c>
      <c r="B23" s="25">
        <f>B22/Assumptions!B31</f>
        <v>4589.511889613843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3253.01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4875.897207299708</v>
      </c>
    </row>
    <row r="29" spans="1:2" x14ac:dyDescent="0.25">
      <c r="A29" s="19" t="s">
        <v>81</v>
      </c>
      <c r="B29" s="11">
        <f>B28/B26-1</f>
        <v>0.49888786302523114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0.047542</v>
      </c>
      <c r="B5" s="31">
        <v>7337.497259273432</v>
      </c>
      <c r="C5" s="31">
        <v>8430.040455604973</v>
      </c>
      <c r="D5" s="31">
        <v>10010.401041423498</v>
      </c>
      <c r="E5" s="31">
        <v>12495.707100317242</v>
      </c>
      <c r="F5" s="31">
        <v>16968.25667854106</v>
      </c>
    </row>
    <row r="6" spans="1:6" x14ac:dyDescent="0.25">
      <c r="A6" s="30">
        <v>0.057542</v>
      </c>
      <c r="B6" s="31">
        <v>5376.187905500921</v>
      </c>
      <c r="C6" s="31">
        <v>5928.413377169386</v>
      </c>
      <c r="D6" s="31">
        <v>6652.391801635148</v>
      </c>
      <c r="E6" s="31">
        <v>7641.663745740097</v>
      </c>
      <c r="F6" s="31">
        <v>9072.7620279825</v>
      </c>
    </row>
    <row r="7" spans="1:6" x14ac:dyDescent="0.25">
      <c r="A7" s="30">
        <v>0.067542</v>
      </c>
      <c r="B7" s="31">
        <v>4164.8413206871655</v>
      </c>
      <c r="C7" s="31">
        <v>4482.321448558323</v>
      </c>
      <c r="D7" s="32">
        <v>4875.914535592006</v>
      </c>
      <c r="E7" s="31">
        <v>5376.031704995239</v>
      </c>
      <c r="F7" s="31">
        <v>6031.774463606664</v>
      </c>
    </row>
    <row r="8" spans="1:6" x14ac:dyDescent="0.25">
      <c r="A8" s="30">
        <v>0.077542</v>
      </c>
      <c r="B8" s="31">
        <v>3343.5063696714146</v>
      </c>
      <c r="C8" s="31">
        <v>3541.262331575442</v>
      </c>
      <c r="D8" s="31">
        <v>3777.7926640276705</v>
      </c>
      <c r="E8" s="31">
        <v>4065.331087911176</v>
      </c>
      <c r="F8" s="31">
        <v>4421.8626855321245</v>
      </c>
    </row>
    <row r="9" spans="1:6" x14ac:dyDescent="0.25">
      <c r="A9" s="30">
        <v>0.087542</v>
      </c>
      <c r="B9" s="31">
        <v>2750.7260718655084</v>
      </c>
      <c r="C9" s="31">
        <v>2880.768039419169</v>
      </c>
      <c r="D9" s="31">
        <v>3032.505983218538</v>
      </c>
      <c r="E9" s="31">
        <v>3211.5955920419988</v>
      </c>
      <c r="F9" s="31">
        <v>3425.8453805133076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20338555000</v>
      </c>
      <c r="C5" s="18">
        <v>18938717000</v>
      </c>
      <c r="D5" s="18">
        <v>18490268000</v>
      </c>
      <c r="E5" s="18">
        <v>17457209000</v>
      </c>
      <c r="F5" s="6" t="s">
        <v>91</v>
      </c>
    </row>
    <row r="6" spans="1:6" x14ac:dyDescent="0.25">
      <c r="A6" t="s">
        <v>51</v>
      </c>
      <c r="B6" s="18">
        <v>3723314000</v>
      </c>
      <c r="C6" s="18">
        <v>3610156000</v>
      </c>
      <c r="D6" s="18">
        <v>3788708000</v>
      </c>
      <c r="E6" s="18">
        <v>3473986000</v>
      </c>
      <c r="F6" s="6" t="s">
        <v>92</v>
      </c>
    </row>
    <row r="7" spans="1:6" x14ac:dyDescent="0.25">
      <c r="A7" t="s">
        <v>93</v>
      </c>
      <c r="B7" s="18">
        <v>684265000</v>
      </c>
      <c r="C7" s="18">
        <v>613199000</v>
      </c>
      <c r="D7" s="18">
        <v>549755000</v>
      </c>
      <c r="E7" s="18">
        <v>497577000</v>
      </c>
      <c r="F7" s="6" t="s">
        <v>94</v>
      </c>
    </row>
    <row r="8" spans="1:6" x14ac:dyDescent="0.25">
      <c r="A8" t="s">
        <v>95</v>
      </c>
      <c r="B8" s="18">
        <v>1433587000</v>
      </c>
      <c r="C8" s="18">
        <v>1327257000</v>
      </c>
      <c r="D8" s="18">
        <v>1072696000</v>
      </c>
      <c r="E8" s="18">
        <v>796657000</v>
      </c>
      <c r="F8" s="6" t="s">
        <v>96</v>
      </c>
    </row>
    <row r="9" spans="1:6" x14ac:dyDescent="0.25">
      <c r="A9" t="s">
        <v>97</v>
      </c>
      <c r="B9" s="18">
        <v>161433000</v>
      </c>
      <c r="C9" s="18">
        <v>311055000</v>
      </c>
      <c r="D9" s="18">
        <v>31907000</v>
      </c>
      <c r="E9" s="18">
        <v>205859000</v>
      </c>
      <c r="F9" s="6" t="s">
        <v>98</v>
      </c>
    </row>
    <row r="10" spans="1:6" x14ac:dyDescent="0.25">
      <c r="A10" t="s">
        <v>99</v>
      </c>
      <c r="B10" s="18">
        <v>12862414000</v>
      </c>
      <c r="C10" s="18">
        <v>12288796000</v>
      </c>
      <c r="D10" s="18">
        <v>12366969000</v>
      </c>
      <c r="E10" s="18">
        <v>10929767000</v>
      </c>
      <c r="F10" s="6" t="s">
        <v>100</v>
      </c>
    </row>
    <row r="11" spans="1:6" x14ac:dyDescent="0.25">
      <c r="A11" t="s">
        <v>101</v>
      </c>
      <c r="B11" s="18">
        <v>326115000</v>
      </c>
      <c r="C11" s="18">
        <v>271803000</v>
      </c>
      <c r="D11" s="18">
        <v>298172000</v>
      </c>
      <c r="E11" s="18">
        <v>277054000</v>
      </c>
      <c r="F11" s="6" t="s">
        <v>102</v>
      </c>
    </row>
    <row r="12" spans="1:6" x14ac:dyDescent="0.25">
      <c r="A12" t="s">
        <v>34</v>
      </c>
      <c r="B12" s="34">
        <v>16173000</v>
      </c>
      <c r="C12" s="34">
        <v>17245000</v>
      </c>
      <c r="D12" s="34">
        <v>17803000</v>
      </c>
      <c r="E12" s="34">
        <v>19103000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