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<sst xmlns="http://schemas.openxmlformats.org/spreadsheetml/2006/main" count="113" uniqueCount="101">
  <si>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The Boeing Company (BA)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</si>
  <si>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</si>
  <si>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</si>
  <si>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</si>
  <si>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</si>
  <si>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</si>
  <si>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</si>
  <si>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</si>
  <si>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</si>
  <si>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</si>
  <si>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</si>
  <si>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</si>
  <si>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</si>
  <si>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</si>
  <si>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</si>
  <si>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</si>
  <si>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</si>
  <si>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</si>
  <si>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</si>
  <si>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</si>
  <si>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</si>
  <si>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</si>
  <si>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</si>
  <si>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</si>
  <si>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</si>
  <si>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</si>
  <si>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</si>
  <si>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</si>
  <si>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</si>
  <si>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</si>
  <si>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</si>
  <si>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</si>
  <si>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</si>
  <si>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</si>
  <si>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</si>
  <si>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</si>
  <si>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</si>
  <si>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</si>
  <si>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</si>
  <si>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</si>
  <si>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</si>
  <si>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</si>
  <si>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</si>
  <si>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</si>
  <si>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</si>
  <si>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</si>
  <si>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</si>
  <si>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</si>
  <si>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</si>
  <si>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</si>
  <si>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</si>
  <si>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</si>
  <si>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</si>
  <si>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</si>
  <si>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</si>
  <si>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</si>
  <si>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</si>
  <si>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</si>
  <si>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</si>
  <si>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</si>
  <si>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</si>
  <si>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</si>
  <si>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</si>
  <si>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</si>
  <si>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</si>
  <si>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</si>
  <si>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</si>
  <si>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</si>
  <si>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</si>
  <si>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</si>
  <si>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</si>
  <si>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</si>
  <si>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</si>
  <si>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</si>
  <si>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</si>
  <si>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</si>
  <si>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</si>
  <si>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</si>
  <si>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</si>
  <si>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</si>
  <si>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</si>
  <si>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</si>
  <si>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</si>
  <si>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</si>
  <si>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</si>
  <si>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</si>
  <si>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</si>
  <si>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</si>
  <si>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</si>
  <si>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</si>
  <si>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</si>
  <si>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</si>
  <si>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</si>
  <si>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</si>
  <si>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</si>
  <si>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</si>
  <si>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</si>
  <si>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</si>
  <si>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</si>
  <si>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No usable EV/EBITDA (EBITDA is not positive), so the exit multiple falls back to 8x.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</si>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</sst>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0.10333066303739025</v>
      </c>
    </row>
    <row r="7" spans="1:2" x14ac:dyDescent="0.25">
      <c r="A7" t="s">
        <v>5</v>
      </c>
      <c r="B7" s="6">
        <v>-0.07162479620862133</v>
      </c>
    </row>
    <row r="8" spans="1:2" x14ac:dyDescent="0.25">
      <c r="A8" t="s">
        <v>6</v>
      </c>
      <c r="B8" s="6">
        <v>0.1506641366223909</v>
      </c>
    </row>
    <row r="9" spans="1:2" x14ac:dyDescent="0.25">
      <c r="A9" t="s">
        <v>7</v>
      </c>
      <c r="B9" s="6">
        <v>0.025766379862577397</v>
      </c>
    </row>
    <row r="10" spans="1:2" x14ac:dyDescent="0.25">
      <c r="A10" t="s">
        <v>8</v>
      </c>
      <c r="B10" s="6">
        <v>0.02645221140596782</v>
      </c>
    </row>
    <row r="11" spans="1:2" x14ac:dyDescent="0.25">
      <c r="A11" t="s">
        <v>9</v>
      </c>
      <c r="B11" s="6">
        <v>-0.36554621848739494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0.09490822485217534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1.1427100000000001</v>
      </c>
      <c r="C19" s="8" t="s">
        <v>19</v>
      </c>
    </row>
    <row r="20" spans="1:2" x14ac:dyDescent="0.25">
      <c r="A20" t="s">
        <v>20</v>
      </c>
      <c r="B20" s="10">
        <f>B17+B19*B18</f>
        <v>0.11282905000000001</v>
      </c>
    </row>
    <row r="21" spans="1:3" x14ac:dyDescent="0.25">
      <c r="A21" t="s">
        <v>21</v>
      </c>
      <c r="B21" s="6">
        <v>0.05102144152604009</v>
      </c>
      <c r="C21" s="8" t="s">
        <v>22</v>
      </c>
    </row>
    <row r="22" spans="1:2" x14ac:dyDescent="0.25">
      <c r="A22" t="s">
        <v>23</v>
      </c>
      <c r="B22" s="11">
        <v>156651339776</v>
      </c>
    </row>
    <row r="23" spans="1:2" x14ac:dyDescent="0.25">
      <c r="A23" t="s">
        <v>24</v>
      </c>
      <c r="B23" s="11">
        <v>54433000000</v>
      </c>
    </row>
    <row r="24" spans="1:2" x14ac:dyDescent="0.25">
      <c r="A24" t="s">
        <v>25</v>
      </c>
      <c r="B24" s="10">
        <f>B22/(B22+B23)</f>
        <v>0.7421267723708751</v>
      </c>
    </row>
    <row r="25" spans="1:2" x14ac:dyDescent="0.25">
      <c r="A25" t="s">
        <v>26</v>
      </c>
      <c r="B25" s="10">
        <f>1-B24</f>
        <v>0.2578732276291249</v>
      </c>
    </row>
    <row r="26" spans="1:2" x14ac:dyDescent="0.25">
      <c r="A26" t="s">
        <v>27</v>
      </c>
      <c r="B26" s="12">
        <f>B24*B20+B25*B21*(1-B8)</f>
        <v>0.09490822485217534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89463000000</v>
      </c>
      <c r="C29" s="8" t="s">
        <v>30</v>
      </c>
    </row>
    <row r="30" spans="1:2" x14ac:dyDescent="0.25">
      <c r="A30" t="s">
        <v>31</v>
      </c>
      <c r="B30" s="11">
        <v>25033000000</v>
      </c>
    </row>
    <row r="31" spans="1:2" x14ac:dyDescent="0.25">
      <c r="A31" t="s">
        <v>32</v>
      </c>
      <c r="B31" s="13">
        <v>762300000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0.10333066303739025</v>
      </c>
      <c r="C5" s="10">
        <f>Assumptions!B6</f>
        <v>0.10333066303739025</v>
      </c>
      <c r="D5" s="10">
        <f>Assumptions!B6</f>
        <v>0.10333066303739025</v>
      </c>
      <c r="E5" s="10">
        <f>Assumptions!B6</f>
        <v>0.10333066303739025</v>
      </c>
      <c r="F5" s="10">
        <f>Assumptions!B6</f>
        <v>0.10333066303739025</v>
      </c>
    </row>
    <row r="6" spans="1:6" x14ac:dyDescent="0.25">
      <c r="A6" t="s">
        <v>43</v>
      </c>
      <c r="B6" s="18">
        <f>Assumptions!B29*(1+B5)</f>
        <v>98707271107.31404</v>
      </c>
      <c r="C6" s="18">
        <f>B6*(1+C5)</f>
        <v>108906758877.44423</v>
      </c>
      <c r="D6" s="18">
        <f>C6*(1+D5)</f>
        <v>120160166481.50372</v>
      </c>
      <c r="E6" s="18">
        <f>D6*(1+E5)</f>
        <v>132576396154.7207</v>
      </c>
      <c r="F6" s="18">
        <f>E6*(1+F5)</f>
        <v>146275603072.4957</v>
      </c>
    </row>
    <row r="7" spans="1:6" x14ac:dyDescent="0.25">
      <c r="A7" t="s">
        <v>5</v>
      </c>
      <c r="B7" s="10">
        <f>Assumptions!B7</f>
        <v>-0.07162479620862133</v>
      </c>
      <c r="C7" s="10">
        <f>Assumptions!B7</f>
        <v>-0.07162479620862133</v>
      </c>
      <c r="D7" s="10">
        <f>Assumptions!B7</f>
        <v>-0.07162479620862133</v>
      </c>
      <c r="E7" s="10">
        <f>Assumptions!B7</f>
        <v>-0.07162479620862133</v>
      </c>
      <c r="F7" s="10">
        <f>Assumptions!B7</f>
        <v>-0.07162479620862133</v>
      </c>
    </row>
    <row r="8" spans="1:6" x14ac:dyDescent="0.25">
      <c r="A8" t="s">
        <v>44</v>
      </c>
      <c r="B8" s="18">
        <f>B6*B7</f>
        <v>-7069888177.370504</v>
      </c>
      <c r="C8" s="18">
        <f>C6*C7</f>
        <v>-7800424410.338405</v>
      </c>
      <c r="D8" s="18">
        <f>D6*D7</f>
        <v>-8606447436.631716</v>
      </c>
      <c r="E8" s="18">
        <f>E6*E7</f>
        <v>-9495757356.65532</v>
      </c>
      <c r="F8" s="18">
        <f>F6*F7</f>
        <v>-10476960260.36069</v>
      </c>
    </row>
    <row r="9" spans="1:6" x14ac:dyDescent="0.25">
      <c r="A9" t="s">
        <v>45</v>
      </c>
      <c r="B9" s="18">
        <f>B8*(1-Assumptions!B8)</f>
        <v>-6004709579.110128</v>
      </c>
      <c r="C9" s="18">
        <f>C8*(1-Assumptions!B8)</f>
        <v>-6625180201.266546</v>
      </c>
      <c r="D9" s="18">
        <f>D8*(1-Assumptions!B8)</f>
        <v>-7309764464.205609</v>
      </c>
      <c r="E9" s="18">
        <f>E8*(1-Assumptions!B8)</f>
        <v>-8065087272.939129</v>
      </c>
      <c r="F9" s="18">
        <f>F8*(1-Assumptions!B8)</f>
        <v>-8898458088.306347</v>
      </c>
    </row>
    <row r="10" spans="1:6" x14ac:dyDescent="0.25">
      <c r="A10" t="s">
        <v>46</v>
      </c>
      <c r="B10" s="18">
        <f>B6*Assumptions!B9</f>
        <v>2543329042.549464</v>
      </c>
      <c r="C10" s="18">
        <f>C6*Assumptions!B9</f>
        <v>2806132918.8383512</v>
      </c>
      <c r="D10" s="18">
        <f>D6*Assumptions!B9</f>
        <v>3096092493.9129653</v>
      </c>
      <c r="E10" s="18">
        <f>E6*Assumptions!B9</f>
        <v>3416013784.134079</v>
      </c>
      <c r="F10" s="18">
        <f>F6*Assumptions!B9</f>
        <v>3768992753.3935175</v>
      </c>
    </row>
    <row r="11" spans="1:6" x14ac:dyDescent="0.25">
      <c r="A11" t="s">
        <v>47</v>
      </c>
      <c r="B11" s="18">
        <f>-B6*Assumptions!B10</f>
        <v>-2611025602.6368504</v>
      </c>
      <c r="C11" s="18">
        <f>-C6*Assumptions!B10</f>
        <v>-2880824609.3649178</v>
      </c>
      <c r="D11" s="18">
        <f>-D6*Assumptions!B10</f>
        <v>-3178502126.345025</v>
      </c>
      <c r="E11" s="18">
        <f>-E6*Assumptions!B10</f>
        <v>-3506938858.5260115</v>
      </c>
      <c r="F11" s="18">
        <f>-F6*Assumptions!B10</f>
        <v>-3869313176.0090923</v>
      </c>
    </row>
    <row r="12" spans="1:6" x14ac:dyDescent="0.25">
      <c r="A12" t="s">
        <v>48</v>
      </c>
      <c r="B12" s="18">
        <f>-(B6-Assumptions!B29)*Assumptions!B11</f>
        <v>3379208345.9509306</v>
      </c>
      <c r="C12" s="18">
        <f>-(C6-B6)*Assumptions!B11</f>
        <v>3728384184.8795223</v>
      </c>
      <c r="D12" s="18">
        <f>-(D6-C6)*Assumptions!B11</f>
        <v>4113640594.7612433</v>
      </c>
      <c r="E12" s="18">
        <f>-(E6-D6)*Assumptions!B11</f>
        <v>4538705804.91545</v>
      </c>
      <c r="F12" s="18">
        <f>-(F6-E6)*Assumptions!B11</f>
        <v>5007693285.06901</v>
      </c>
    </row>
    <row r="13" spans="1:6" x14ac:dyDescent="0.25">
      <c r="A13" s="19" t="s">
        <v>49</v>
      </c>
      <c r="B13" s="20">
        <f>B9+B10+B11+B12</f>
        <v>-2693197793.246584</v>
      </c>
      <c r="C13" s="20">
        <f>C9+C10+C11+C12</f>
        <v>-2971487706.9135904</v>
      </c>
      <c r="D13" s="20">
        <f>D9+D10+D11+D12</f>
        <v>-3278533501.8764253</v>
      </c>
      <c r="E13" s="20">
        <f>E9+E10+E11+E12</f>
        <v>-3617306542.4156113</v>
      </c>
      <c r="F13" s="20">
        <f>F9+F10+F11+F12</f>
        <v>-3991085225.852911</v>
      </c>
    </row>
    <row r="14" spans="1:6" x14ac:dyDescent="0.25">
      <c r="A14" t="s">
        <v>50</v>
      </c>
      <c r="B14" s="21">
        <f>1/(1+Assumptions!$B$26)^(1-0.5*Assumptions!$B$32)</f>
        <v>0.955677015014973</v>
      </c>
      <c r="C14" s="21">
        <f>1/(1+Assumptions!$B$26)^(2-0.5*Assumptions!$B$32)</f>
        <v>0.8728375523382336</v>
      </c>
      <c r="D14" s="21">
        <f>1/(1+Assumptions!$B$26)^(3-0.5*Assumptions!$B$32)</f>
        <v>0.7971787338213451</v>
      </c>
      <c r="E14" s="21">
        <f>1/(1+Assumptions!$B$26)^(4-0.5*Assumptions!$B$32)</f>
        <v>0.7280781308670623</v>
      </c>
      <c r="F14" s="21">
        <f>1/(1+Assumptions!$B$26)^(5-0.5*Assumptions!$B$32)</f>
        <v>0.664967267887097</v>
      </c>
    </row>
    <row r="15" spans="1:6" x14ac:dyDescent="0.25">
      <c r="A15" s="19" t="s">
        <v>51</v>
      </c>
      <c r="B15" s="20">
        <f>B13*B14</f>
        <v>-2573827227.894808</v>
      </c>
      <c r="C15" s="20">
        <f>C13*C14</f>
        <v>-2593626056.9056087</v>
      </c>
      <c r="D15" s="20">
        <f>D13*D14</f>
        <v>-2613577185.816709</v>
      </c>
      <c r="E15" s="20">
        <f>E13*E14</f>
        <v>-2633681786.175154</v>
      </c>
      <c r="F15" s="20">
        <f>F13*F14</f>
        <v>-2653941038.539968</v>
      </c>
    </row>
    <row r="17" spans="1:2" x14ac:dyDescent="0.25">
      <c r="A17" s="22" t="s">
        <v>52</v>
      </c>
      <c r="B17" s="23">
        <f>SUM(B15:F15)</f>
        <v>-13068653295.332249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-3991085225.852911</v>
      </c>
    </row>
    <row r="5" spans="1:2" x14ac:dyDescent="0.25">
      <c r="A5" t="s">
        <v>56</v>
      </c>
      <c r="B5" s="18">
        <f>IF(Assumptions!$B$33=0,B4,B4-Forecast!F11-Forecast!F10-Forecast!F12)</f>
        <v>-8898458088.306347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0.26341236535546675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-13068653295.332249</v>
      </c>
    </row>
    <row r="12" spans="1:2" x14ac:dyDescent="0.25">
      <c r="A12" t="s">
        <v>63</v>
      </c>
      <c r="B12" s="18">
        <f>-Assumptions!B30</f>
        <v>-25032999999.999996</v>
      </c>
    </row>
    <row r="13" spans="1:2" x14ac:dyDescent="0.25">
      <c r="A13" t="s">
        <v>64</v>
      </c>
      <c r="B13" s="18">
        <f>B11+B12</f>
        <v>-38101653295.332245</v>
      </c>
    </row>
    <row r="14" spans="1:2" x14ac:dyDescent="0.25">
      <c r="A14" s="19" t="s">
        <v>65</v>
      </c>
      <c r="B14" s="24">
        <f>B13/Assumptions!B31</f>
        <v>-49.98249153264101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-6707967506.967172</v>
      </c>
    </row>
    <row r="18" spans="1:2" x14ac:dyDescent="0.25">
      <c r="A18" t="s">
        <v>60</v>
      </c>
      <c r="B18" s="18">
        <f>B17*Assumptions!B13</f>
        <v>-53663740055.73737</v>
      </c>
    </row>
    <row r="19" spans="1:2" x14ac:dyDescent="0.25">
      <c r="A19" t="s">
        <v>61</v>
      </c>
      <c r="B19" s="18">
        <f>B18/(1+Assumptions!B26)^(5-0.5*Assumptions!B32)</f>
        <v>-35684630609.46706</v>
      </c>
    </row>
    <row r="20" spans="1:2" x14ac:dyDescent="0.25">
      <c r="A20" t="s">
        <v>62</v>
      </c>
      <c r="B20" s="18">
        <f>Forecast!B17+B19</f>
        <v>-48753283904.7993</v>
      </c>
    </row>
    <row r="21" spans="1:2" x14ac:dyDescent="0.25">
      <c r="A21" t="s">
        <v>63</v>
      </c>
      <c r="B21" s="18">
        <f>-Assumptions!B30</f>
        <v>-25033000000</v>
      </c>
    </row>
    <row r="22" spans="1:2" x14ac:dyDescent="0.25">
      <c r="A22" t="s">
        <v>64</v>
      </c>
      <c r="B22" s="18">
        <f>B20+B21</f>
        <v>-73786283904.7993</v>
      </c>
    </row>
    <row r="23" spans="1:2" x14ac:dyDescent="0.25">
      <c r="A23" s="19" t="s">
        <v>65</v>
      </c>
      <c r="B23" s="25">
        <f>B22/Assumptions!B31</f>
        <v>-96.79428558939958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198.2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-49.98249153264101</v>
      </c>
    </row>
    <row r="29" spans="1:2" x14ac:dyDescent="0.25">
      <c r="A29" s="19" t="s">
        <v>73</v>
      </c>
      <c r="B29" s="12">
        <f>B28/B26-1</f>
        <v>-1.252182096531993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0.074908</v>
      </c>
      <c r="B5" s="31">
        <v>-50.80228897521622</v>
      </c>
      <c r="C5" s="31">
        <v>-50.80228897521622</v>
      </c>
      <c r="D5" s="31">
        <v>-50.80228897521622</v>
      </c>
      <c r="E5" s="31">
        <v>-50.80228897521622</v>
      </c>
      <c r="F5" s="31">
        <v>-50.80228897521622</v>
      </c>
    </row>
    <row r="6" spans="1:6" x14ac:dyDescent="0.25">
      <c r="A6" s="30">
        <v>0.084908</v>
      </c>
      <c r="B6" s="31">
        <v>-50.3842292856586</v>
      </c>
      <c r="C6" s="31">
        <v>-50.3842292856586</v>
      </c>
      <c r="D6" s="31">
        <v>-50.3842292856586</v>
      </c>
      <c r="E6" s="31">
        <v>-50.3842292856586</v>
      </c>
      <c r="F6" s="31">
        <v>-50.3842292856586</v>
      </c>
    </row>
    <row r="7" spans="1:6" x14ac:dyDescent="0.25">
      <c r="A7" s="30">
        <v>0.094908</v>
      </c>
      <c r="B7" s="31">
        <v>-49.982500388254934</v>
      </c>
      <c r="C7" s="31">
        <v>-49.982500388254934</v>
      </c>
      <c r="D7" s="32">
        <v>-49.982500388254934</v>
      </c>
      <c r="E7" s="31">
        <v>-49.982500388254934</v>
      </c>
      <c r="F7" s="31">
        <v>-49.982500388254934</v>
      </c>
    </row>
    <row r="8" spans="1:6" x14ac:dyDescent="0.25">
      <c r="A8" s="30">
        <v>0.104908</v>
      </c>
      <c r="B8" s="31">
        <v>-49.59628022321973</v>
      </c>
      <c r="C8" s="31">
        <v>-49.59628022321973</v>
      </c>
      <c r="D8" s="31">
        <v>-49.59628022321973</v>
      </c>
      <c r="E8" s="31">
        <v>-49.59628022321973</v>
      </c>
      <c r="F8" s="31">
        <v>-49.59628022321973</v>
      </c>
    </row>
    <row r="9" spans="1:6" x14ac:dyDescent="0.25">
      <c r="A9" s="30">
        <v>0.114908</v>
      </c>
      <c r="B9" s="31">
        <v>-49.224796262807956</v>
      </c>
      <c r="C9" s="31">
        <v>-49.224796262807956</v>
      </c>
      <c r="D9" s="31">
        <v>-49.224796262807956</v>
      </c>
      <c r="E9" s="31">
        <v>-49.224796262807956</v>
      </c>
      <c r="F9" s="31">
        <v>-49.224796262807956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89463000000</v>
      </c>
      <c r="C5" s="18">
        <v>66517000000</v>
      </c>
      <c r="D5" s="18">
        <v>77794000000</v>
      </c>
      <c r="E5" s="18">
        <v>66608000000</v>
      </c>
      <c r="F5" s="8" t="s">
        <v>84</v>
      </c>
    </row>
    <row r="6" spans="1:6" x14ac:dyDescent="0.25">
      <c r="A6" t="s">
        <v>44</v>
      </c>
      <c r="B6" s="18">
        <v>-5416000000</v>
      </c>
      <c r="C6" s="18">
        <v>-10824000000</v>
      </c>
      <c r="D6" s="18">
        <v>-821000000</v>
      </c>
      <c r="E6" s="18">
        <v>-3509000000</v>
      </c>
      <c r="F6" s="8" t="s">
        <v>85</v>
      </c>
    </row>
    <row r="7" spans="1:6" x14ac:dyDescent="0.25">
      <c r="A7" t="s">
        <v>86</v>
      </c>
      <c r="B7" s="18">
        <v>1953000000</v>
      </c>
      <c r="C7" s="18">
        <v>1836000000</v>
      </c>
      <c r="D7" s="18">
        <v>1861000000</v>
      </c>
      <c r="E7" s="18">
        <v>1979000000</v>
      </c>
      <c r="F7" s="8" t="s">
        <v>87</v>
      </c>
    </row>
    <row r="8" spans="1:6" x14ac:dyDescent="0.25">
      <c r="A8" t="s">
        <v>88</v>
      </c>
      <c r="B8" s="18">
        <v>2951000000</v>
      </c>
      <c r="C8" s="18">
        <v>2318000000</v>
      </c>
      <c r="D8" s="18">
        <v>1527000000</v>
      </c>
      <c r="E8" s="18">
        <v>1222000000</v>
      </c>
      <c r="F8" s="8" t="s">
        <v>89</v>
      </c>
    </row>
    <row r="9" spans="1:6" x14ac:dyDescent="0.25">
      <c r="A9" t="s">
        <v>90</v>
      </c>
      <c r="B9" s="18">
        <v>1002000000</v>
      </c>
      <c r="C9" s="18">
        <v>8768000000</v>
      </c>
      <c r="D9" s="18">
        <v>-4089000000</v>
      </c>
      <c r="E9" s="18">
        <v>-4139000000</v>
      </c>
      <c r="F9" s="8" t="s">
        <v>91</v>
      </c>
    </row>
    <row r="10" spans="1:6" x14ac:dyDescent="0.25">
      <c r="A10" t="s">
        <v>92</v>
      </c>
      <c r="B10" s="18">
        <v>54433000000</v>
      </c>
      <c r="C10" s="18">
        <v>54188000000</v>
      </c>
      <c r="D10" s="18">
        <v>52603000000</v>
      </c>
      <c r="E10" s="18">
        <v>57277000000</v>
      </c>
      <c r="F10" s="8" t="s">
        <v>93</v>
      </c>
    </row>
    <row r="11" spans="1:6" x14ac:dyDescent="0.25">
      <c r="A11" t="s">
        <v>94</v>
      </c>
      <c r="B11" s="18">
        <v>29400000000</v>
      </c>
      <c r="C11" s="18">
        <v>26282000000</v>
      </c>
      <c r="D11" s="18">
        <v>15965000000</v>
      </c>
      <c r="E11" s="18">
        <v>17220000000</v>
      </c>
      <c r="F11" s="8" t="s">
        <v>95</v>
      </c>
    </row>
    <row r="12" spans="1:6" x14ac:dyDescent="0.25">
      <c r="A12" t="s">
        <v>32</v>
      </c>
      <c r="B12" s="34">
        <v>762300000</v>
      </c>
      <c r="C12" s="34">
        <v>647200000</v>
      </c>
      <c r="D12" s="34">
        <v>606100000</v>
      </c>
      <c r="E12" s="34">
        <v>595200000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2026-09-19T00:06:21Z</dcterms:modified>
</cp:coreProperties>
</file>