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<sst xmlns="http://schemas.openxmlformats.org/spreadsheetml/2006/main" count="113" uniqueCount="101">
  <si>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BAE Systems plc (BA.L)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</si>
  <si>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</si>
  <si>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</si>
  <si>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</si>
  <si>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</si>
  <si>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</si>
  <si>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</si>
  <si>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</si>
  <si>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</si>
  <si>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</si>
  <si>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</si>
  <si>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</si>
  <si>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</si>
  <si>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</si>
  <si>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</si>
  <si>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</si>
  <si>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</si>
  <si>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</si>
  <si>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</si>
  <si>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Clamped from a reported -0.057</t>
  </si>
  <si>
    <t>Cost of equity</t>
  </si>
  <si>
    <t>Cost of debt</t>
  </si>
  <si>
    <t>Interest expense / average total debt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</si>
  <si>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</si>
  <si>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</si>
  <si>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</si>
  <si>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</si>
  <si>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</si>
  <si>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</si>
  <si>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</si>
  <si>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2025-12-31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</si>
  <si>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</si>
  <si>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</si>
  <si>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</si>
  <si>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</si>
  <si>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</si>
  <si>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</si>
  <si>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</si>
  <si>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</si>
  <si>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</si>
  <si>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</si>
  <si>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</si>
  <si>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</si>
  <si>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</si>
  <si>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</si>
  <si>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</si>
  <si>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</si>
  <si>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</si>
  <si>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</si>
  <si>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</si>
  <si>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</si>
  <si>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</si>
  <si>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</si>
  <si>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</si>
  <si>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</si>
  <si>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</si>
  <si>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</si>
  <si>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</si>
  <si>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</si>
  <si>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</si>
  <si>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</si>
  <si>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</si>
  <si>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</si>
  <si>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</si>
  <si>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</si>
  <si>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</si>
  <si>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</si>
  <si>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</si>
  <si>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</si>
  <si>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</si>
  <si>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</si>
  <si>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</si>
  <si>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</si>
  <si>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</si>
  <si>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</si>
  <si>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</si>
  <si>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</si>
  <si>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</si>
  <si>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</si>
  <si>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</si>
  <si>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</si>
  <si>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</si>
  <si>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</si>
  <si>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</si>
  <si>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</si>
  <si>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</si>
  <si>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</si>
  <si>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</si>
  <si>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</si>
  <si>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</si>
  <si>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</si>
  <si>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</si>
  <si>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</si>
  <si>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</si>
  <si>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</si>
  <si>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</si>
  <si>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</si>
  <si>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</si>
  <si>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Beta of -0.057 is not usable in a cost of equity. Clamped to 0.30.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</si>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</sst>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0.10053885566377208</v>
      </c>
    </row>
    <row r="7" spans="1:2" x14ac:dyDescent="0.25">
      <c r="A7" t="s">
        <v>5</v>
      </c>
      <c r="B7" s="6">
        <v>0.09667327887981061</v>
      </c>
    </row>
    <row r="8" spans="1:2" x14ac:dyDescent="0.25">
      <c r="A8" t="s">
        <v>6</v>
      </c>
      <c r="B8" s="6">
        <v>0.16102844415670323</v>
      </c>
    </row>
    <row r="9" spans="1:2" x14ac:dyDescent="0.25">
      <c r="A9" t="s">
        <v>7</v>
      </c>
      <c r="B9" s="6">
        <v>0.03799943948225606</v>
      </c>
    </row>
    <row r="10" spans="1:2" x14ac:dyDescent="0.25">
      <c r="A10" t="s">
        <v>8</v>
      </c>
      <c r="B10" s="6">
        <v>0.03929841744925712</v>
      </c>
    </row>
    <row r="11" spans="1:2" x14ac:dyDescent="0.25">
      <c r="A11" t="s">
        <v>9</v>
      </c>
      <c r="B11" s="6">
        <v>-0.23036487322201607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16.848956884144755</v>
      </c>
    </row>
    <row r="14" spans="1:3" x14ac:dyDescent="0.25">
      <c r="A14" t="s">
        <v>12</v>
      </c>
      <c r="B14" s="6">
        <v>0.11296030790809858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0.3</v>
      </c>
      <c r="C19" s="8" t="s">
        <v>19</v>
      </c>
    </row>
    <row r="20" spans="1:2" x14ac:dyDescent="0.25">
      <c r="A20" t="s">
        <v>20</v>
      </c>
      <c r="B20" s="10">
        <f>B17+B19*B18</f>
        <v>0.0615</v>
      </c>
    </row>
    <row r="21" spans="1:3" x14ac:dyDescent="0.25">
      <c r="A21" t="s">
        <v>21</v>
      </c>
      <c r="B21" s="6">
        <v>0.052217157065893076</v>
      </c>
      <c r="C21" s="8" t="s">
        <v>22</v>
      </c>
    </row>
    <row r="22" spans="1:2" x14ac:dyDescent="0.25">
      <c r="A22" t="s">
        <v>23</v>
      </c>
      <c r="B22" s="11">
        <v>59286843392</v>
      </c>
    </row>
    <row r="23" spans="1:2" x14ac:dyDescent="0.25">
      <c r="A23" t="s">
        <v>24</v>
      </c>
      <c r="B23" s="11">
        <v>9051000000</v>
      </c>
    </row>
    <row r="24" spans="1:2" x14ac:dyDescent="0.25">
      <c r="A24" t="s">
        <v>25</v>
      </c>
      <c r="B24" s="10">
        <f>B22/(B22+B23)</f>
        <v>0.8675550829416493</v>
      </c>
    </row>
    <row r="25" spans="1:2" x14ac:dyDescent="0.25">
      <c r="A25" t="s">
        <v>26</v>
      </c>
      <c r="B25" s="10">
        <f>1-B24</f>
        <v>0.1324449170583507</v>
      </c>
    </row>
    <row r="26" spans="1:2" x14ac:dyDescent="0.25">
      <c r="A26" t="s">
        <v>27</v>
      </c>
      <c r="B26" s="12">
        <f>B24*B20+B25*B21*(1-B8)</f>
        <v>0.05915687849777243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28336000000</v>
      </c>
      <c r="C29" s="8" t="s">
        <v>30</v>
      </c>
    </row>
    <row r="30" spans="1:2" x14ac:dyDescent="0.25">
      <c r="A30" t="s">
        <v>31</v>
      </c>
      <c r="B30" s="11">
        <v>5430000000</v>
      </c>
    </row>
    <row r="31" spans="1:2" x14ac:dyDescent="0.25">
      <c r="A31" t="s">
        <v>32</v>
      </c>
      <c r="B31" s="13">
        <v>3031000000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0.10053885566377208</v>
      </c>
      <c r="C5" s="10">
        <f>Assumptions!B6</f>
        <v>0.10053885566377208</v>
      </c>
      <c r="D5" s="10">
        <f>Assumptions!B6</f>
        <v>0.10053885566377208</v>
      </c>
      <c r="E5" s="10">
        <f>Assumptions!B6</f>
        <v>0.10053885566377208</v>
      </c>
      <c r="F5" s="10">
        <f>Assumptions!B6</f>
        <v>0.10053885566377208</v>
      </c>
    </row>
    <row r="6" spans="1:6" x14ac:dyDescent="0.25">
      <c r="A6" t="s">
        <v>43</v>
      </c>
      <c r="B6" s="18">
        <f>Assumptions!B29*(1+B5)</f>
        <v>31184869014.088646</v>
      </c>
      <c r="C6" s="18">
        <f>B6*(1+C5)</f>
        <v>34320160058.78974</v>
      </c>
      <c r="D6" s="18">
        <f>C6*(1+D5)</f>
        <v>37770669677.29796</v>
      </c>
      <c r="E6" s="18">
        <f>D6*(1+E5)</f>
        <v>41568089584.30783</v>
      </c>
      <c r="F6" s="18">
        <f>E6*(1+F5)</f>
        <v>45747297743.2433</v>
      </c>
    </row>
    <row r="7" spans="1:6" x14ac:dyDescent="0.25">
      <c r="A7" t="s">
        <v>5</v>
      </c>
      <c r="B7" s="10">
        <f>Assumptions!B7</f>
        <v>0.09667327887981061</v>
      </c>
      <c r="C7" s="10">
        <f>Assumptions!B7</f>
        <v>0.09667327887981061</v>
      </c>
      <c r="D7" s="10">
        <f>Assumptions!B7</f>
        <v>0.09667327887981061</v>
      </c>
      <c r="E7" s="10">
        <f>Assumptions!B7</f>
        <v>0.09667327887981061</v>
      </c>
      <c r="F7" s="10">
        <f>Assumptions!B7</f>
        <v>0.09667327887981061</v>
      </c>
    </row>
    <row r="8" spans="1:6" x14ac:dyDescent="0.25">
      <c r="A8" t="s">
        <v>44</v>
      </c>
      <c r="B8" s="18">
        <f>B6*B7</f>
        <v>3014743539.0293565</v>
      </c>
      <c r="C8" s="18">
        <f>C6*C7</f>
        <v>3317842404.563118</v>
      </c>
      <c r="D8" s="18">
        <f>D6*D7</f>
        <v>3651414483.190632</v>
      </c>
      <c r="E8" s="18">
        <f>E6*E7</f>
        <v>4018523516.884742</v>
      </c>
      <c r="F8" s="18">
        <f>F6*F7</f>
        <v>4422541272.73029</v>
      </c>
    </row>
    <row r="9" spans="1:6" x14ac:dyDescent="0.25">
      <c r="A9" t="s">
        <v>45</v>
      </c>
      <c r="B9" s="18">
        <f>B8*(1-Assumptions!B8)</f>
        <v>2529284077.4079857</v>
      </c>
      <c r="C9" s="18">
        <f>C8*(1-Assumptions!B8)</f>
        <v>2783575404.199184</v>
      </c>
      <c r="D9" s="18">
        <f>D8*(1-Assumptions!B8)</f>
        <v>3063432889.991192</v>
      </c>
      <c r="E9" s="18">
        <f>E8*(1-Assumptions!B8)</f>
        <v>3371426927.1536684</v>
      </c>
      <c r="F9" s="18">
        <f>F8*(1-Assumptions!B8)</f>
        <v>3710386332.3637257</v>
      </c>
    </row>
    <row r="10" spans="1:6" x14ac:dyDescent="0.25">
      <c r="A10" t="s">
        <v>46</v>
      </c>
      <c r="B10" s="18">
        <f>B6*Assumptions!B9</f>
        <v>1185007542.8629436</v>
      </c>
      <c r="C10" s="18">
        <f>C6*Assumptions!B9</f>
        <v>1304146845.1753223</v>
      </c>
      <c r="D10" s="18">
        <f>D6*Assumptions!B9</f>
        <v>1435264276.6067677</v>
      </c>
      <c r="E10" s="18">
        <f>E6*Assumptions!B9</f>
        <v>1579564104.5519037</v>
      </c>
      <c r="F10" s="18">
        <f>F6*Assumptions!B9</f>
        <v>1738371672.071123</v>
      </c>
    </row>
    <row r="11" spans="1:6" x14ac:dyDescent="0.25">
      <c r="A11" t="s">
        <v>47</v>
      </c>
      <c r="B11" s="18">
        <f>-B6*Assumptions!B10</f>
        <v>-1225516000.6160588</v>
      </c>
      <c r="C11" s="18">
        <f>-C6*Assumptions!B10</f>
        <v>-1348727976.91564</v>
      </c>
      <c r="D11" s="18">
        <f>-D6*Assumptions!B10</f>
        <v>-1484327544.316453</v>
      </c>
      <c r="E11" s="18">
        <f>-E6*Assumptions!B10</f>
        <v>-1633560137.052246</v>
      </c>
      <c r="F11" s="18">
        <f>-F6*Assumptions!B10</f>
        <v>-1797796403.8894334</v>
      </c>
    </row>
    <row r="12" spans="1:6" x14ac:dyDescent="0.25">
      <c r="A12" t="s">
        <v>48</v>
      </c>
      <c r="B12" s="18">
        <f>-(B6-Assumptions!B29)*Assumptions!B11</f>
        <v>656279349.2566608</v>
      </c>
      <c r="C12" s="18">
        <f>-(C6-B6)*Assumptions!B11</f>
        <v>722260924.0266902</v>
      </c>
      <c r="D12" s="18">
        <f>-(D6-C6)*Assumptions!B11</f>
        <v>794876210.8189924</v>
      </c>
      <c r="E12" s="18">
        <f>-(E6-D6)*Assumptions!B11</f>
        <v>874792155.4490893</v>
      </c>
      <c r="F12" s="18">
        <f>-(F6-E6)*Assumptions!B11</f>
        <v>962742757.7015848</v>
      </c>
    </row>
    <row r="13" spans="1:6" x14ac:dyDescent="0.25">
      <c r="A13" s="19" t="s">
        <v>49</v>
      </c>
      <c r="B13" s="20">
        <f>B9+B10+B11+B12</f>
        <v>3145054968.9115314</v>
      </c>
      <c r="C13" s="20">
        <f>C9+C10+C11+C12</f>
        <v>3461255196.4855566</v>
      </c>
      <c r="D13" s="20">
        <f>D9+D10+D11+D12</f>
        <v>3809245833.100499</v>
      </c>
      <c r="E13" s="20">
        <f>E9+E10+E11+E12</f>
        <v>4192223050.102415</v>
      </c>
      <c r="F13" s="20">
        <f>F9+F10+F11+F12</f>
        <v>4613704358.247</v>
      </c>
    </row>
    <row r="14" spans="1:6" x14ac:dyDescent="0.25">
      <c r="A14" t="s">
        <v>50</v>
      </c>
      <c r="B14" s="21">
        <f>1/(1+Assumptions!$B$26)^(1-0.5*Assumptions!$B$32)</f>
        <v>0.9716723721874052</v>
      </c>
      <c r="C14" s="21">
        <f>1/(1+Assumptions!$B$26)^(2-0.5*Assumptions!$B$32)</f>
        <v>0.9174017484223406</v>
      </c>
      <c r="D14" s="21">
        <f>1/(1+Assumptions!$B$26)^(3-0.5*Assumptions!$B$32)</f>
        <v>0.8661622910135025</v>
      </c>
      <c r="E14" s="21">
        <f>1/(1+Assumptions!$B$26)^(4-0.5*Assumptions!$B$32)</f>
        <v>0.8177847008292116</v>
      </c>
      <c r="F14" s="21">
        <f>1/(1+Assumptions!$B$26)^(5-0.5*Assumptions!$B$32)</f>
        <v>0.7721091345685215</v>
      </c>
    </row>
    <row r="15" spans="1:6" x14ac:dyDescent="0.25">
      <c r="A15" s="19" t="s">
        <v>51</v>
      </c>
      <c r="B15" s="20">
        <f>B13*B14</f>
        <v>3055963022.302054</v>
      </c>
      <c r="C15" s="20">
        <f>C13*C14</f>
        <v>3175361568.9917617</v>
      </c>
      <c r="D15" s="20">
        <f>D13*D14</f>
        <v>3299425097.8319664</v>
      </c>
      <c r="E15" s="20">
        <f>E13*E14</f>
        <v>3428335872.8373284</v>
      </c>
      <c r="F15" s="20">
        <f>F13*F14</f>
        <v>3562283279.2011065</v>
      </c>
    </row>
    <row r="17" spans="1:2" x14ac:dyDescent="0.25">
      <c r="A17" s="22" t="s">
        <v>52</v>
      </c>
      <c r="B17" s="23">
        <f>SUM(B15:F15)</f>
        <v>16521368841.164217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4613704358.247</v>
      </c>
    </row>
    <row r="5" spans="1:2" x14ac:dyDescent="0.25">
      <c r="A5" t="s">
        <v>56</v>
      </c>
      <c r="B5" s="18">
        <f>IF(Assumptions!$B$33=0,B4,B4-Forecast!F11-Forecast!F10-Forecast!F12)</f>
        <v>4211110769.8560658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0.2213166771848685</v>
      </c>
    </row>
    <row r="7" spans="1:2" x14ac:dyDescent="0.25">
      <c r="A7" t="s">
        <v>58</v>
      </c>
      <c r="B7" s="18">
        <f>-MAX(Forecast!F9,0)*B6</f>
        <v>-931989042.8419579</v>
      </c>
    </row>
    <row r="8" spans="1:2" x14ac:dyDescent="0.25">
      <c r="A8" t="s">
        <v>59</v>
      </c>
      <c r="B8" s="18">
        <f>IF(OR(Assumptions!$B$33=0,Assumptions!B12&lt;=0),B5,MAX(B5+B7,0))</f>
        <v>3279121727.0141077</v>
      </c>
    </row>
    <row r="9" spans="1:2" x14ac:dyDescent="0.25">
      <c r="A9" t="s">
        <v>60</v>
      </c>
      <c r="B9" s="18">
        <f>B8*(1+Assumptions!B12)/(Assumptions!B26-Assumptions!B12)</f>
        <v>98401842264.6161</v>
      </c>
    </row>
    <row r="10" spans="1:2" x14ac:dyDescent="0.25">
      <c r="A10" t="s">
        <v>61</v>
      </c>
      <c r="B10" s="18">
        <f>B9/(1+Assumptions!B26)^(5-0.5*Assumptions!B32)</f>
        <v>75976961270.8809</v>
      </c>
    </row>
    <row r="11" spans="1:2" x14ac:dyDescent="0.25">
      <c r="A11" t="s">
        <v>62</v>
      </c>
      <c r="B11" s="18">
        <f>Forecast!B17+B10</f>
        <v>92498330112.04512</v>
      </c>
    </row>
    <row r="12" spans="1:2" x14ac:dyDescent="0.25">
      <c r="A12" t="s">
        <v>63</v>
      </c>
      <c r="B12" s="18">
        <f>-Assumptions!B30</f>
        <v>-5430000000</v>
      </c>
    </row>
    <row r="13" spans="1:2" x14ac:dyDescent="0.25">
      <c r="A13" t="s">
        <v>64</v>
      </c>
      <c r="B13" s="18">
        <f>B11+B12</f>
        <v>87068330112.04512</v>
      </c>
    </row>
    <row r="14" spans="1:2" x14ac:dyDescent="0.25">
      <c r="A14" s="19" t="s">
        <v>65</v>
      </c>
      <c r="B14" s="24">
        <f>B13/Assumptions!B31</f>
        <v>28.725941970321717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6160912944.801414</v>
      </c>
    </row>
    <row r="18" spans="1:2" x14ac:dyDescent="0.25">
      <c r="A18" t="s">
        <v>60</v>
      </c>
      <c r="B18" s="18">
        <f>B17*Assumptions!B13</f>
        <v>103804956573.92831</v>
      </c>
    </row>
    <row r="19" spans="1:2" x14ac:dyDescent="0.25">
      <c r="A19" t="s">
        <v>61</v>
      </c>
      <c r="B19" s="18">
        <f>B18/(1+Assumptions!B26)^(5-0.5*Assumptions!B32)</f>
        <v>80148755184.21875</v>
      </c>
    </row>
    <row r="20" spans="1:2" x14ac:dyDescent="0.25">
      <c r="A20" t="s">
        <v>62</v>
      </c>
      <c r="B20" s="18">
        <f>Forecast!B17+B19</f>
        <v>96670124025.38297</v>
      </c>
    </row>
    <row r="21" spans="1:2" x14ac:dyDescent="0.25">
      <c r="A21" t="s">
        <v>63</v>
      </c>
      <c r="B21" s="18">
        <f>-Assumptions!B30</f>
        <v>-5430000000</v>
      </c>
    </row>
    <row r="22" spans="1:2" x14ac:dyDescent="0.25">
      <c r="A22" t="s">
        <v>64</v>
      </c>
      <c r="B22" s="18">
        <f>B20+B21</f>
        <v>91240124025.38297</v>
      </c>
    </row>
    <row r="23" spans="1:2" x14ac:dyDescent="0.25">
      <c r="A23" s="19" t="s">
        <v>65</v>
      </c>
      <c r="B23" s="25">
        <f>B22/Assumptions!B31</f>
        <v>30.102317395375444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2025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2872.594197032172</v>
      </c>
    </row>
    <row r="29" spans="1:2" x14ac:dyDescent="0.25">
      <c r="A29" s="19" t="s">
        <v>73</v>
      </c>
      <c r="B29" s="12">
        <f>B28/B26-1</f>
        <v>0.418565035571443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0.039157</v>
      </c>
      <c r="B5" s="31">
        <v>46.52435074767791</v>
      </c>
      <c r="C5" s="31">
        <v>55.149940853253675</v>
      </c>
      <c r="D5" s="31">
        <v>69.83179605103551</v>
      </c>
      <c r="E5" s="31">
        <v>100.49063015374496</v>
      </c>
      <c r="F5" s="31">
        <v>204.77731724700018</v>
      </c>
    </row>
    <row r="6" spans="1:6" x14ac:dyDescent="0.25">
      <c r="A6" s="30">
        <v>0.049157</v>
      </c>
      <c r="B6" s="31">
        <v>32.64424007504659</v>
      </c>
      <c r="C6" s="31">
        <v>36.02448033912383</v>
      </c>
      <c r="D6" s="31">
        <v>40.783487400089165</v>
      </c>
      <c r="E6" s="31">
        <v>48.00084062597106</v>
      </c>
      <c r="F6" s="31">
        <v>60.2812721262382</v>
      </c>
    </row>
    <row r="7" spans="1:6" x14ac:dyDescent="0.25">
      <c r="A7" s="30">
        <v>0.059157</v>
      </c>
      <c r="B7" s="31">
        <v>25.04286560656667</v>
      </c>
      <c r="C7" s="31">
        <v>26.655273623242696</v>
      </c>
      <c r="D7" s="32">
        <v>28.72583825304179</v>
      </c>
      <c r="E7" s="31">
        <v>31.490261015216472</v>
      </c>
      <c r="F7" s="31">
        <v>35.37938481185038</v>
      </c>
    </row>
    <row r="8" spans="1:6" x14ac:dyDescent="0.25">
      <c r="A8" s="30">
        <v>0.069157</v>
      </c>
      <c r="B8" s="31">
        <v>20.242589551809896</v>
      </c>
      <c r="C8" s="31">
        <v>21.08881848816414</v>
      </c>
      <c r="D8" s="31">
        <v>22.116380510240198</v>
      </c>
      <c r="E8" s="31">
        <v>23.39473947599011</v>
      </c>
      <c r="F8" s="31">
        <v>25.034032521436</v>
      </c>
    </row>
    <row r="9" spans="1:6" x14ac:dyDescent="0.25">
      <c r="A9" s="30">
        <v>0.079157</v>
      </c>
      <c r="B9" s="31">
        <v>16.933951510312216</v>
      </c>
      <c r="C9" s="31">
        <v>17.397134967445027</v>
      </c>
      <c r="D9" s="31">
        <v>17.937784769649664</v>
      </c>
      <c r="E9" s="31">
        <v>18.57953936467676</v>
      </c>
      <c r="F9" s="31">
        <v>19.356743746351444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28336000000</v>
      </c>
      <c r="C5" s="18">
        <v>26312000000</v>
      </c>
      <c r="D5" s="18">
        <v>23078000000</v>
      </c>
      <c r="E5" s="18">
        <v>21258000000</v>
      </c>
      <c r="F5" s="8" t="s">
        <v>84</v>
      </c>
    </row>
    <row r="6" spans="1:6" x14ac:dyDescent="0.25">
      <c r="A6" t="s">
        <v>44</v>
      </c>
      <c r="B6" s="18">
        <v>2681000000</v>
      </c>
      <c r="C6" s="18">
        <v>2442000000</v>
      </c>
      <c r="D6" s="18">
        <v>2307000000</v>
      </c>
      <c r="E6" s="18">
        <v>2111000000</v>
      </c>
      <c r="F6" s="8" t="s">
        <v>85</v>
      </c>
    </row>
    <row r="7" spans="1:6" x14ac:dyDescent="0.25">
      <c r="A7" t="s">
        <v>86</v>
      </c>
      <c r="B7" s="18">
        <v>1160000000</v>
      </c>
      <c r="C7" s="18">
        <v>1085000000</v>
      </c>
      <c r="D7" s="18">
        <v>782000000</v>
      </c>
      <c r="E7" s="18">
        <v>764000000</v>
      </c>
      <c r="F7" s="8" t="s">
        <v>87</v>
      </c>
    </row>
    <row r="8" spans="1:6" x14ac:dyDescent="0.25">
      <c r="A8" t="s">
        <v>88</v>
      </c>
      <c r="B8" s="18">
        <v>1103000000</v>
      </c>
      <c r="C8" s="18">
        <v>1163000000</v>
      </c>
      <c r="D8" s="18">
        <v>957000000</v>
      </c>
      <c r="E8" s="18">
        <v>693000000</v>
      </c>
      <c r="F8" s="8" t="s">
        <v>89</v>
      </c>
    </row>
    <row r="9" spans="1:6" x14ac:dyDescent="0.25">
      <c r="A9" t="s">
        <v>90</v>
      </c>
      <c r="B9" s="18">
        <v>345000000</v>
      </c>
      <c r="C9" s="18">
        <v>-745000000</v>
      </c>
      <c r="D9" s="18">
        <v>-1125000000</v>
      </c>
      <c r="E9" s="18">
        <v>-323000000</v>
      </c>
      <c r="F9" s="8" t="s">
        <v>91</v>
      </c>
    </row>
    <row r="10" spans="1:6" x14ac:dyDescent="0.25">
      <c r="A10" t="s">
        <v>92</v>
      </c>
      <c r="B10" s="18">
        <v>9051000000</v>
      </c>
      <c r="C10" s="18">
        <v>10253000000</v>
      </c>
      <c r="D10" s="18">
        <v>6479000000</v>
      </c>
      <c r="E10" s="18">
        <v>6805000000</v>
      </c>
      <c r="F10" s="8" t="s">
        <v>93</v>
      </c>
    </row>
    <row r="11" spans="1:6" x14ac:dyDescent="0.25">
      <c r="A11" t="s">
        <v>94</v>
      </c>
      <c r="B11" s="18">
        <v>3621000000</v>
      </c>
      <c r="C11" s="18">
        <v>3590000000</v>
      </c>
      <c r="D11" s="18">
        <v>4067000000</v>
      </c>
      <c r="E11" s="18">
        <v>3052000000</v>
      </c>
      <c r="F11" s="8" t="s">
        <v>95</v>
      </c>
    </row>
    <row r="12" spans="1:6" x14ac:dyDescent="0.25">
      <c r="A12" t="s">
        <v>32</v>
      </c>
      <c r="B12" s="34">
        <v>3031000000</v>
      </c>
      <c r="C12" s="34">
        <v>3053000000</v>
      </c>
      <c r="D12" s="34">
        <v>3072000000</v>
      </c>
      <c r="E12" s="34">
        <v>3112000000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2026-09-19T00:06:36Z</dcterms:modified>
</cp:coreProperties>
</file>