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<sst xmlns="http://schemas.openxmlformats.org/spreadsheetml/2006/main" count="112" uniqueCount="100">
  <si>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Babcock International Group PLC (BAB.L)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</si>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</sst>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0.052681421409530804</v>
      </c>
    </row>
    <row r="7" spans="1:2" x14ac:dyDescent="0.25">
      <c r="A7" t="s">
        <v>5</v>
      </c>
      <c r="B7" s="6">
        <v>0.05436392968383946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0.029685153485084763</v>
      </c>
    </row>
    <row r="10" spans="1:2" x14ac:dyDescent="0.25">
      <c r="A10" t="s">
        <v>8</v>
      </c>
      <c r="B10" s="6">
        <v>0.02953421835095086</v>
      </c>
    </row>
    <row r="11" spans="1:2" x14ac:dyDescent="0.25">
      <c r="A11" t="s">
        <v>9</v>
      </c>
      <c r="B11" s="6">
        <v>0.08771532184950136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11.678741429213483</v>
      </c>
    </row>
    <row r="14" spans="1:3" x14ac:dyDescent="0.25">
      <c r="A14" t="s">
        <v>12</v>
      </c>
      <c r="B14" s="6">
        <v>0.16091976142132766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0.90888</v>
      </c>
      <c r="C19" s="8" t="s">
        <v>19</v>
      </c>
    </row>
    <row r="20" spans="1:2" x14ac:dyDescent="0.25">
      <c r="A20" t="s">
        <v>20</v>
      </c>
      <c r="B20" s="10">
        <f>B17+B19*B18</f>
        <v>0.0949884</v>
      </c>
    </row>
    <row r="21" spans="1:3" x14ac:dyDescent="0.25">
      <c r="A21" t="s">
        <v>21</v>
      </c>
      <c r="B21" s="6">
        <v>0.046702132667953485</v>
      </c>
      <c r="C21" s="8" t="s">
        <v>22</v>
      </c>
    </row>
    <row r="22" spans="1:2" x14ac:dyDescent="0.25">
      <c r="A22" t="s">
        <v>23</v>
      </c>
      <c r="B22" s="11">
        <v>4840039936</v>
      </c>
    </row>
    <row r="23" spans="1:2" x14ac:dyDescent="0.25">
      <c r="A23" t="s">
        <v>24</v>
      </c>
      <c r="B23" s="11">
        <v>1098200000</v>
      </c>
    </row>
    <row r="24" spans="1:2" x14ac:dyDescent="0.25">
      <c r="A24" t="s">
        <v>25</v>
      </c>
      <c r="B24" s="10">
        <f>B22/(B22+B23)</f>
        <v>0.8150630469910335</v>
      </c>
    </row>
    <row r="25" spans="1:2" x14ac:dyDescent="0.25">
      <c r="A25" t="s">
        <v>26</v>
      </c>
      <c r="B25" s="10">
        <f>1-B24</f>
        <v>0.1849369530089665</v>
      </c>
    </row>
    <row r="26" spans="1:2" x14ac:dyDescent="0.25">
      <c r="A26" t="s">
        <v>27</v>
      </c>
      <c r="B26" s="12">
        <f>B24*B20+B25*B21*(1-B8)</f>
        <v>0.08389924731877696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5177700000</v>
      </c>
      <c r="C29" s="8" t="s">
        <v>30</v>
      </c>
    </row>
    <row r="30" spans="1:2" x14ac:dyDescent="0.25">
      <c r="A30" t="s">
        <v>31</v>
      </c>
      <c r="B30" s="11">
        <v>357000000</v>
      </c>
    </row>
    <row r="31" spans="1:2" x14ac:dyDescent="0.25">
      <c r="A31" t="s">
        <v>32</v>
      </c>
      <c r="B31" s="13">
        <v>494550912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0.052681421409530804</v>
      </c>
      <c r="C5" s="10">
        <f>Assumptions!B6</f>
        <v>0.052681421409530804</v>
      </c>
      <c r="D5" s="10">
        <f>Assumptions!B6</f>
        <v>0.052681421409530804</v>
      </c>
      <c r="E5" s="10">
        <f>Assumptions!B6</f>
        <v>0.052681421409530804</v>
      </c>
      <c r="F5" s="10">
        <f>Assumptions!B6</f>
        <v>0.052681421409530804</v>
      </c>
    </row>
    <row r="6" spans="1:6" x14ac:dyDescent="0.25">
      <c r="A6" t="s">
        <v>43</v>
      </c>
      <c r="B6" s="18">
        <f>Assumptions!B29*(1+B5)</f>
        <v>5450468595.632128</v>
      </c>
      <c r="C6" s="18">
        <f>B6*(1+C5)</f>
        <v>5737607028.598038</v>
      </c>
      <c r="D6" s="18">
        <f>C6*(1+D5)</f>
        <v>6039872322.353897</v>
      </c>
      <c r="E6" s="18">
        <f>D6*(1+E5)</f>
        <v>6358061381.427585</v>
      </c>
      <c r="F6" s="18">
        <f>E6*(1+F5)</f>
        <v>6693013092.410234</v>
      </c>
    </row>
    <row r="7" spans="1:6" x14ac:dyDescent="0.25">
      <c r="A7" t="s">
        <v>5</v>
      </c>
      <c r="B7" s="10">
        <f>Assumptions!B7</f>
        <v>0.05436392968383946</v>
      </c>
      <c r="C7" s="10">
        <f>Assumptions!B7</f>
        <v>0.05436392968383946</v>
      </c>
      <c r="D7" s="10">
        <f>Assumptions!B7</f>
        <v>0.05436392968383946</v>
      </c>
      <c r="E7" s="10">
        <f>Assumptions!B7</f>
        <v>0.05436392968383946</v>
      </c>
      <c r="F7" s="10">
        <f>Assumptions!B7</f>
        <v>0.05436392968383946</v>
      </c>
    </row>
    <row r="8" spans="1:6" x14ac:dyDescent="0.25">
      <c r="A8" t="s">
        <v>44</v>
      </c>
      <c r="B8" s="18">
        <f>B6*B7</f>
        <v>296308891.47692025</v>
      </c>
      <c r="C8" s="18">
        <f>C6*C7</f>
        <v>311918865.0562068</v>
      </c>
      <c r="D8" s="18">
        <f>D6*D7</f>
        <v>328351194.2318154</v>
      </c>
      <c r="E8" s="18">
        <f>E6*E7</f>
        <v>345649201.8654644</v>
      </c>
      <c r="F8" s="18">
        <f>F6*F7</f>
        <v>363858493.1288069</v>
      </c>
    </row>
    <row r="9" spans="1:6" x14ac:dyDescent="0.25">
      <c r="A9" t="s">
        <v>45</v>
      </c>
      <c r="B9" s="18">
        <f>B8*(1-Assumptions!B8)</f>
        <v>222231668.6076902</v>
      </c>
      <c r="C9" s="18">
        <f>C8*(1-Assumptions!B8)</f>
        <v>233939148.79215512</v>
      </c>
      <c r="D9" s="18">
        <f>D8*(1-Assumptions!B8)</f>
        <v>246263395.67386156</v>
      </c>
      <c r="E9" s="18">
        <f>E8*(1-Assumptions!B8)</f>
        <v>259236901.39909828</v>
      </c>
      <c r="F9" s="18">
        <f>F8*(1-Assumptions!B8)</f>
        <v>272893869.8466052</v>
      </c>
    </row>
    <row r="10" spans="1:6" x14ac:dyDescent="0.25">
      <c r="A10" t="s">
        <v>46</v>
      </c>
      <c r="B10" s="18">
        <f>B6*Assumptions!B9</f>
        <v>161797996.82697412</v>
      </c>
      <c r="C10" s="18">
        <f>C6*Assumptions!B9</f>
        <v>170321745.28103387</v>
      </c>
      <c r="D10" s="18">
        <f>D6*Assumptions!B9</f>
        <v>179294536.9193908</v>
      </c>
      <c r="E10" s="18">
        <f>E6*Assumptions!B9</f>
        <v>188740027.97526792</v>
      </c>
      <c r="F10" s="18">
        <f>F6*Assumptions!B9</f>
        <v>198683120.92587963</v>
      </c>
    </row>
    <row r="11" spans="1:6" x14ac:dyDescent="0.25">
      <c r="A11" t="s">
        <v>47</v>
      </c>
      <c r="B11" s="18">
        <f>-B6*Assumptions!B10</f>
        <v>-160975329.61839974</v>
      </c>
      <c r="C11" s="18">
        <f>-C6*Assumptions!B10</f>
        <v>-169455738.7945648</v>
      </c>
      <c r="D11" s="18">
        <f>-D6*Assumptions!B10</f>
        <v>-178382907.98026466</v>
      </c>
      <c r="E11" s="18">
        <f>-E6*Assumptions!B10</f>
        <v>-187780373.12783054</v>
      </c>
      <c r="F11" s="18">
        <f>-F6*Assumptions!B10</f>
        <v>-197672910.09701672</v>
      </c>
    </row>
    <row r="12" spans="1:6" x14ac:dyDescent="0.25">
      <c r="A12" t="s">
        <v>48</v>
      </c>
      <c r="B12" s="18">
        <f>-(B6-Assumptions!B29)*Assumptions!B11</f>
        <v>-23925985.156308576</v>
      </c>
      <c r="C12" s="18">
        <f>-(C6-B6)*Assumptions!B11</f>
        <v>-25186440.06296626</v>
      </c>
      <c r="D12" s="18">
        <f>-(D6-C6)*Assumptions!B11</f>
        <v>-26513297.525729276</v>
      </c>
      <c r="E12" s="18">
        <f>-(E6-D6)*Assumptions!B11</f>
        <v>-27910055.725638505</v>
      </c>
      <c r="F12" s="18">
        <f>-(F6-E6)*Assumptions!B11</f>
        <v>-29380397.132884286</v>
      </c>
    </row>
    <row r="13" spans="1:6" x14ac:dyDescent="0.25">
      <c r="A13" s="19" t="s">
        <v>49</v>
      </c>
      <c r="B13" s="20">
        <f>B9+B10+B11+B12</f>
        <v>199128350.65995598</v>
      </c>
      <c r="C13" s="20">
        <f>C9+C10+C11+C12</f>
        <v>209618715.21565795</v>
      </c>
      <c r="D13" s="20">
        <f>D9+D10+D11+D12</f>
        <v>220661727.08725843</v>
      </c>
      <c r="E13" s="20">
        <f>E9+E10+E11+E12</f>
        <v>232286500.52089712</v>
      </c>
      <c r="F13" s="20">
        <f>F9+F10+F11+F12</f>
        <v>244523683.5425838</v>
      </c>
    </row>
    <row r="14" spans="1:6" x14ac:dyDescent="0.25">
      <c r="A14" t="s">
        <v>50</v>
      </c>
      <c r="B14" s="21">
        <f>1/(1+Assumptions!$B$26)^(1-0.5*Assumptions!$B$32)</f>
        <v>0.9605180768411707</v>
      </c>
      <c r="C14" s="21">
        <f>1/(1+Assumptions!$B$26)^(2-0.5*Assumptions!$B$32)</f>
        <v>0.886169151991929</v>
      </c>
      <c r="D14" s="21">
        <f>1/(1+Assumptions!$B$26)^(3-0.5*Assumptions!$B$32)</f>
        <v>0.8175752074595776</v>
      </c>
      <c r="E14" s="21">
        <f>1/(1+Assumptions!$B$26)^(4-0.5*Assumptions!$B$32)</f>
        <v>0.7542907788542148</v>
      </c>
      <c r="F14" s="21">
        <f>1/(1+Assumptions!$B$26)^(5-0.5*Assumptions!$B$32)</f>
        <v>0.6959048829677584</v>
      </c>
    </row>
    <row r="15" spans="1:6" x14ac:dyDescent="0.25">
      <c r="A15" s="19" t="s">
        <v>51</v>
      </c>
      <c r="B15" s="20">
        <f>B13*B14</f>
        <v>191266380.4204552</v>
      </c>
      <c r="C15" s="20">
        <f>C13*C14</f>
        <v>185757639.10429728</v>
      </c>
      <c r="D15" s="20">
        <f>D13*D14</f>
        <v>180407557.301754</v>
      </c>
      <c r="E15" s="20">
        <f>E13*E14</f>
        <v>175211565.39522746</v>
      </c>
      <c r="F15" s="20">
        <f>F13*F14</f>
        <v>170165225.37854698</v>
      </c>
    </row>
    <row r="17" spans="1:2" x14ac:dyDescent="0.25">
      <c r="A17" s="22" t="s">
        <v>52</v>
      </c>
      <c r="B17" s="23">
        <f>SUM(B15:F15)</f>
        <v>902808367.6002809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244523683.5425838</v>
      </c>
    </row>
    <row r="5" spans="1:2" x14ac:dyDescent="0.25">
      <c r="A5" t="s">
        <v>56</v>
      </c>
      <c r="B5" s="18">
        <f>IF(Assumptions!$B$33=0,B4,B4-Forecast!F11-Forecast!F10-Forecast!F12)</f>
        <v>301556179.39932823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0.15535692931176942</v>
      </c>
    </row>
    <row r="7" spans="1:2" x14ac:dyDescent="0.25">
      <c r="A7" t="s">
        <v>58</v>
      </c>
      <c r="B7" s="18">
        <f>-MAX(Forecast!F9,0)*B6</f>
        <v>-46848842.0464687</v>
      </c>
    </row>
    <row r="8" spans="1:2" x14ac:dyDescent="0.25">
      <c r="A8" t="s">
        <v>59</v>
      </c>
      <c r="B8" s="18">
        <f>IF(OR(Assumptions!$B$33=0,Assumptions!B12&lt;=0),B5,MAX(B5+B7,0))</f>
        <v>254707337.35285953</v>
      </c>
    </row>
    <row r="9" spans="1:2" x14ac:dyDescent="0.25">
      <c r="A9" t="s">
        <v>60</v>
      </c>
      <c r="B9" s="18">
        <f>B8*(1+Assumptions!B12)/(Assumptions!B26-Assumptions!B12)</f>
        <v>4432569730.028635</v>
      </c>
    </row>
    <row r="10" spans="1:2" x14ac:dyDescent="0.25">
      <c r="A10" t="s">
        <v>61</v>
      </c>
      <c r="B10" s="18">
        <f>B9/(1+Assumptions!B26)^(5-0.5*Assumptions!B32)</f>
        <v>3084646919.222006</v>
      </c>
    </row>
    <row r="11" spans="1:2" x14ac:dyDescent="0.25">
      <c r="A11" t="s">
        <v>62</v>
      </c>
      <c r="B11" s="18">
        <f>Forecast!B17+B10</f>
        <v>3987455286.8222866</v>
      </c>
    </row>
    <row r="12" spans="1:2" x14ac:dyDescent="0.25">
      <c r="A12" t="s">
        <v>63</v>
      </c>
      <c r="B12" s="18">
        <f>-Assumptions!B30</f>
        <v>-357000000</v>
      </c>
    </row>
    <row r="13" spans="1:2" x14ac:dyDescent="0.25">
      <c r="A13" t="s">
        <v>64</v>
      </c>
      <c r="B13" s="18">
        <f>B11+B12</f>
        <v>3630455286.8222866</v>
      </c>
    </row>
    <row r="14" spans="1:2" x14ac:dyDescent="0.25">
      <c r="A14" s="19" t="s">
        <v>65</v>
      </c>
      <c r="B14" s="24">
        <f>B13/Assumptions!B31</f>
        <v>7.340913137012447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562541614.0546865</v>
      </c>
    </row>
    <row r="18" spans="1:2" x14ac:dyDescent="0.25">
      <c r="A18" t="s">
        <v>60</v>
      </c>
      <c r="B18" s="18">
        <f>B17*Assumptions!B13</f>
        <v>6569778053.71709</v>
      </c>
    </row>
    <row r="19" spans="1:2" x14ac:dyDescent="0.25">
      <c r="A19" t="s">
        <v>61</v>
      </c>
      <c r="B19" s="18">
        <f>B18/(1+Assumptions!B26)^(5-0.5*Assumptions!B32)</f>
        <v>4571940627.596139</v>
      </c>
    </row>
    <row r="20" spans="1:2" x14ac:dyDescent="0.25">
      <c r="A20" t="s">
        <v>62</v>
      </c>
      <c r="B20" s="18">
        <f>Forecast!B17+B19</f>
        <v>5474748995.19642</v>
      </c>
    </row>
    <row r="21" spans="1:2" x14ac:dyDescent="0.25">
      <c r="A21" t="s">
        <v>63</v>
      </c>
      <c r="B21" s="18">
        <f>-Assumptions!B30</f>
        <v>-357000000</v>
      </c>
    </row>
    <row r="22" spans="1:2" x14ac:dyDescent="0.25">
      <c r="A22" t="s">
        <v>64</v>
      </c>
      <c r="B22" s="18">
        <f>B20+B21</f>
        <v>5117748995.19642</v>
      </c>
    </row>
    <row r="23" spans="1:2" x14ac:dyDescent="0.25">
      <c r="A23" s="19" t="s">
        <v>65</v>
      </c>
      <c r="B23" s="25">
        <f>B22/Assumptions!B31</f>
        <v>10.348275316083978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986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734.0913137012448</v>
      </c>
    </row>
    <row r="29" spans="1:2" x14ac:dyDescent="0.25">
      <c r="A29" s="19" t="s">
        <v>73</v>
      </c>
      <c r="B29" s="12">
        <f>B28/B26-1</f>
        <v>-0.2554854830616179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0.063899</v>
      </c>
      <c r="B5" s="31">
        <v>9.874362568367513</v>
      </c>
      <c r="C5" s="31">
        <v>10.578108145325304</v>
      </c>
      <c r="D5" s="31">
        <v>11.459084067726234</v>
      </c>
      <c r="E5" s="31">
        <v>12.595713155761082</v>
      </c>
      <c r="F5" s="31">
        <v>14.120691955487104</v>
      </c>
    </row>
    <row r="6" spans="1:6" x14ac:dyDescent="0.25">
      <c r="A6" s="30">
        <v>0.073899</v>
      </c>
      <c r="B6" s="31">
        <v>8.058876125571876</v>
      </c>
      <c r="C6" s="31">
        <v>8.477272803034756</v>
      </c>
      <c r="D6" s="31">
        <v>8.978421783472117</v>
      </c>
      <c r="E6" s="31">
        <v>9.590598985347182</v>
      </c>
      <c r="F6" s="31">
        <v>10.356618448135665</v>
      </c>
    </row>
    <row r="7" spans="1:6" x14ac:dyDescent="0.25">
      <c r="A7" s="30">
        <v>0.083899</v>
      </c>
      <c r="B7" s="31">
        <v>6.772109682103746</v>
      </c>
      <c r="C7" s="31">
        <v>7.0353045737857505</v>
      </c>
      <c r="D7" s="32">
        <v>7.340946748888507</v>
      </c>
      <c r="E7" s="31">
        <v>7.700849214171173</v>
      </c>
      <c r="F7" s="31">
        <v>8.131656570805516</v>
      </c>
    </row>
    <row r="8" spans="1:6" x14ac:dyDescent="0.25">
      <c r="A8" s="30">
        <v>0.093899</v>
      </c>
      <c r="B8" s="31">
        <v>5.812939965602394</v>
      </c>
      <c r="C8" s="31">
        <v>5.984663975496151</v>
      </c>
      <c r="D8" s="31">
        <v>6.1794758591708705</v>
      </c>
      <c r="E8" s="31">
        <v>6.402795390124019</v>
      </c>
      <c r="F8" s="31">
        <v>6.661882703657999</v>
      </c>
    </row>
    <row r="9" spans="1:6" x14ac:dyDescent="0.25">
      <c r="A9" s="30">
        <v>0.103899</v>
      </c>
      <c r="B9" s="31">
        <v>5.070743849048885</v>
      </c>
      <c r="C9" s="31">
        <v>5.185368396869733</v>
      </c>
      <c r="D9" s="31">
        <v>5.312981863829091</v>
      </c>
      <c r="E9" s="31">
        <v>5.456220737390627</v>
      </c>
      <c r="F9" s="31">
        <v>5.618486824533144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5177700000</v>
      </c>
      <c r="C5" s="18">
        <v>4831300000</v>
      </c>
      <c r="D5" s="18">
        <v>4390100000</v>
      </c>
      <c r="E5" s="18">
        <v>4438600000</v>
      </c>
      <c r="F5" s="8" t="s">
        <v>84</v>
      </c>
    </row>
    <row r="6" spans="1:6" x14ac:dyDescent="0.25">
      <c r="A6" t="s">
        <v>44</v>
      </c>
      <c r="B6" s="18">
        <v>305100000</v>
      </c>
      <c r="C6" s="18">
        <v>362400000</v>
      </c>
      <c r="D6" s="18">
        <v>245100000</v>
      </c>
      <c r="E6" s="18">
        <v>122900000</v>
      </c>
      <c r="F6" s="8" t="s">
        <v>85</v>
      </c>
    </row>
    <row r="7" spans="1:6" x14ac:dyDescent="0.25">
      <c r="A7" t="s">
        <v>86</v>
      </c>
      <c r="B7" s="18">
        <v>139900000</v>
      </c>
      <c r="C7" s="18">
        <v>117700000</v>
      </c>
      <c r="D7" s="18">
        <v>115800000</v>
      </c>
      <c r="E7" s="18">
        <v>181900000</v>
      </c>
      <c r="F7" s="8" t="s">
        <v>87</v>
      </c>
    </row>
    <row r="8" spans="1:6" x14ac:dyDescent="0.25">
      <c r="A8" t="s">
        <v>88</v>
      </c>
      <c r="B8" s="18">
        <v>160300000</v>
      </c>
      <c r="C8" s="18">
        <v>128300000</v>
      </c>
      <c r="D8" s="18">
        <v>142400000</v>
      </c>
      <c r="E8" s="18">
        <v>125100000</v>
      </c>
      <c r="F8" s="8" t="s">
        <v>89</v>
      </c>
    </row>
    <row r="9" spans="1:6" x14ac:dyDescent="0.25">
      <c r="A9" t="s">
        <v>90</v>
      </c>
      <c r="B9" s="18">
        <v>-30900000</v>
      </c>
      <c r="C9" s="18">
        <v>38700000</v>
      </c>
      <c r="D9" s="18">
        <v>-134000000</v>
      </c>
      <c r="E9" s="18">
        <v>-160100000</v>
      </c>
      <c r="F9" s="8" t="s">
        <v>91</v>
      </c>
    </row>
    <row r="10" spans="1:6" x14ac:dyDescent="0.25">
      <c r="A10" t="s">
        <v>92</v>
      </c>
      <c r="B10" s="18">
        <v>1098200000</v>
      </c>
      <c r="C10" s="18">
        <v>1025900000</v>
      </c>
      <c r="D10" s="18">
        <v>998000000</v>
      </c>
      <c r="E10" s="18">
        <v>1016800000</v>
      </c>
      <c r="F10" s="8" t="s">
        <v>93</v>
      </c>
    </row>
    <row r="11" spans="1:6" x14ac:dyDescent="0.25">
      <c r="A11" t="s">
        <v>94</v>
      </c>
      <c r="B11" s="18">
        <v>741200000</v>
      </c>
      <c r="C11" s="18">
        <v>647800000</v>
      </c>
      <c r="D11" s="18">
        <v>571700000</v>
      </c>
      <c r="E11" s="18">
        <v>453100000</v>
      </c>
      <c r="F11" s="8" t="s">
        <v>95</v>
      </c>
    </row>
    <row r="12" spans="1:6" x14ac:dyDescent="0.25">
      <c r="A12" t="s">
        <v>32</v>
      </c>
      <c r="B12" s="34">
        <v>494550912</v>
      </c>
      <c r="C12" s="34">
        <v>514412540</v>
      </c>
      <c r="D12" s="34">
        <v>515322849</v>
      </c>
      <c r="E12" s="34">
        <v>514920548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2026-09-19T00:07:02Z</dcterms:modified>
</cp:coreProperties>
</file>