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<sst xmlns="http://schemas.openxmlformats.org/spreadsheetml/2006/main" count="113" uniqueCount="100">
  <si>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Bank of America Corporation (BAC)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</si>
  <si>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</si>
  <si>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</si>
  <si>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</si>
  <si>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</si>
  <si>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</si>
  <si>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</si>
  <si>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</si>
  <si>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</si>
  <si>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</si>
  <si>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</si>
  <si>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</si>
  <si>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</si>
  <si>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</si>
  <si>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</si>
  <si>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</si>
  <si>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</si>
  <si>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</si>
  <si>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</si>
  <si>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</si>
  <si>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</si>
  <si>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</si>
  <si>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22.7%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</si>
  <si>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</si>
  <si>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</si>
  <si>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</si>
  <si>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</si>
  <si>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</si>
  <si>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</si>
  <si>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</si>
  <si>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</si>
  <si>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</si>
  <si>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</si>
  <si>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</si>
  <si>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</si>
  <si>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</si>
  <si>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</si>
  <si>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</si>
  <si>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</si>
  <si>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</si>
  <si>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</si>
  <si>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</si>
  <si>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</si>
  <si>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</si>
  <si>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</si>
  <si>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</si>
  <si>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</si>
  <si>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</si>
  <si>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</si>
  <si>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</si>
  <si>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</si>
  <si>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</si>
  <si>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</si>
  <si>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</si>
  <si>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</si>
  <si>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</si>
  <si>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</si>
  <si>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</si>
  <si>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</si>
  <si>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</si>
  <si>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</si>
  <si>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</si>
  <si>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</si>
  <si>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</si>
  <si>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</si>
  <si>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</si>
  <si>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</si>
  <si>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</si>
  <si>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</si>
  <si>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</si>
  <si>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</si>
  <si>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</si>
  <si>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</si>
  <si>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</si>
  <si>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</si>
  <si>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</si>
  <si>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</si>
  <si>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</si>
  <si>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</si>
  <si>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</si>
  <si>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</si>
  <si>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</si>
  <si>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</si>
  <si>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</si>
  <si>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</si>
  <si>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</si>
  <si>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</si>
  <si>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</si>
  <si>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</si>
  <si>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</si>
  <si>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</si>
  <si>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</si>
  <si>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</si>
  <si>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</si>
  <si>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</si>
  <si>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</si>
  <si>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</si>
  <si>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</si>
  <si>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2.05%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</si>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</sst>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0.06003133969580876</v>
      </c>
    </row>
    <row r="7" spans="1:2" x14ac:dyDescent="0.25">
      <c r="A7" t="s">
        <v>5</v>
      </c>
      <c r="B7" s="6">
        <v>0.3224612841504428</v>
      </c>
    </row>
    <row r="8" spans="1:2" x14ac:dyDescent="0.25">
      <c r="A8" t="s">
        <v>6</v>
      </c>
      <c r="B8" s="6">
        <v>0.18937902443558532</v>
      </c>
    </row>
    <row r="9" spans="1:2" x14ac:dyDescent="0.25">
      <c r="A9" t="s">
        <v>7</v>
      </c>
      <c r="B9" s="6">
        <v>0.02049678221483405</v>
      </c>
    </row>
    <row r="10" spans="1:2" x14ac:dyDescent="0.25">
      <c r="A10" t="s">
        <v>8</v>
      </c>
      <c r="B10" s="6">
        <v>0.02049678221483405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13.253927179984503</v>
      </c>
    </row>
    <row r="14" spans="1:3" x14ac:dyDescent="0.25">
      <c r="A14" t="s">
        <v>12</v>
      </c>
      <c r="B14" s="6">
        <v>0.08520830673083084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1.10988</v>
      </c>
      <c r="C19" s="8" t="s">
        <v>19</v>
      </c>
    </row>
    <row r="20" spans="1:2" x14ac:dyDescent="0.25">
      <c r="A20" t="s">
        <v>20</v>
      </c>
      <c r="B20" s="10">
        <f>B17+B19*B18</f>
        <v>0.1110234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403691372544</v>
      </c>
    </row>
    <row r="23" spans="1:2" x14ac:dyDescent="0.25">
      <c r="A23" t="s">
        <v>24</v>
      </c>
      <c r="B23" s="11">
        <v>365904000000</v>
      </c>
    </row>
    <row r="24" spans="1:2" x14ac:dyDescent="0.25">
      <c r="A24" t="s">
        <v>25</v>
      </c>
      <c r="B24" s="10">
        <f>B22/(B22+B23)</f>
        <v>0.5245501557650281</v>
      </c>
    </row>
    <row r="25" spans="1:2" x14ac:dyDescent="0.25">
      <c r="A25" t="s">
        <v>26</v>
      </c>
      <c r="B25" s="10">
        <f>1-B24</f>
        <v>0.47544984423497194</v>
      </c>
    </row>
    <row r="26" spans="1:2" x14ac:dyDescent="0.25">
      <c r="A26" t="s">
        <v>27</v>
      </c>
      <c r="B26" s="12">
        <f>B24*B20+B25*B21*(1-B8)</f>
        <v>0.08520830673083084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113097000000</v>
      </c>
      <c r="C29" s="8" t="s">
        <v>30</v>
      </c>
    </row>
    <row r="30" spans="1:2" x14ac:dyDescent="0.25">
      <c r="A30" t="s">
        <v>31</v>
      </c>
      <c r="B30" s="11">
        <v>126585000000</v>
      </c>
    </row>
    <row r="31" spans="1:2" x14ac:dyDescent="0.25">
      <c r="A31" t="s">
        <v>32</v>
      </c>
      <c r="B31" s="13">
        <v>7680900000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0.06003133969580876</v>
      </c>
      <c r="C5" s="10">
        <f>Assumptions!B6</f>
        <v>0.06003133969580876</v>
      </c>
      <c r="D5" s="10">
        <f>Assumptions!B6</f>
        <v>0.06003133969580876</v>
      </c>
      <c r="E5" s="10">
        <f>Assumptions!B6</f>
        <v>0.06003133969580876</v>
      </c>
      <c r="F5" s="10">
        <f>Assumptions!B6</f>
        <v>0.06003133969580876</v>
      </c>
    </row>
    <row r="6" spans="1:6" x14ac:dyDescent="0.25">
      <c r="A6" t="s">
        <v>43</v>
      </c>
      <c r="B6" s="18">
        <f>Assumptions!B29*(1+B5)</f>
        <v>119886364425.57689</v>
      </c>
      <c r="C6" s="18">
        <f>B6*(1+C5)</f>
        <v>127083303493.30421</v>
      </c>
      <c r="D6" s="18">
        <f>C6*(1+D5)</f>
        <v>134712284454.97632</v>
      </c>
      <c r="E6" s="18">
        <f>D6*(1+E5)</f>
        <v>142799243364.2914</v>
      </c>
      <c r="F6" s="18">
        <f>E6*(1+F5)</f>
        <v>151371673250.99765</v>
      </c>
    </row>
    <row r="7" spans="1:6" x14ac:dyDescent="0.25">
      <c r="A7" t="s">
        <v>5</v>
      </c>
      <c r="B7" s="10">
        <f>Assumptions!B7</f>
        <v>0.3224612841504428</v>
      </c>
      <c r="C7" s="10">
        <f>Assumptions!B7</f>
        <v>0.3224612841504428</v>
      </c>
      <c r="D7" s="10">
        <f>Assumptions!B7</f>
        <v>0.3224612841504428</v>
      </c>
      <c r="E7" s="10">
        <f>Assumptions!B7</f>
        <v>0.3224612841504428</v>
      </c>
      <c r="F7" s="10">
        <f>Assumptions!B7</f>
        <v>0.3224612841504428</v>
      </c>
    </row>
    <row r="8" spans="1:6" x14ac:dyDescent="0.25">
      <c r="A8" t="s">
        <v>44</v>
      </c>
      <c r="B8" s="18">
        <f>B6*B7</f>
        <v>38658711024.799484</v>
      </c>
      <c r="C8" s="18">
        <f>C6*C7</f>
        <v>40979445238.53133</v>
      </c>
      <c r="D8" s="18">
        <f>D6*D7</f>
        <v>43439496236.1914</v>
      </c>
      <c r="E8" s="18">
        <f>E6*E7</f>
        <v>46047227390.961006</v>
      </c>
      <c r="F8" s="18">
        <f>F6*F7</f>
        <v>48811504140.51793</v>
      </c>
    </row>
    <row r="9" spans="1:6" x14ac:dyDescent="0.25">
      <c r="A9" t="s">
        <v>45</v>
      </c>
      <c r="B9" s="18">
        <f>B8*(1-Assumptions!B8)</f>
        <v>31337562044.985752</v>
      </c>
      <c r="C9" s="18">
        <f>C8*(1-Assumptions!B8)</f>
        <v>33218797877.34677</v>
      </c>
      <c r="D9" s="18">
        <f>D8*(1-Assumptions!B8)</f>
        <v>35212966817.008194</v>
      </c>
      <c r="E9" s="18">
        <f>E8*(1-Assumptions!B8)</f>
        <v>37326848389.69725</v>
      </c>
      <c r="F9" s="18">
        <f>F8*(1-Assumptions!B8)</f>
        <v>39567629105.153114</v>
      </c>
    </row>
    <row r="10" spans="1:6" x14ac:dyDescent="0.25">
      <c r="A10" t="s">
        <v>46</v>
      </c>
      <c r="B10" s="18">
        <f>B6*Assumptions!B9</f>
        <v>2457284702.159278</v>
      </c>
      <c r="C10" s="18">
        <f>C6*Assumptions!B9</f>
        <v>2604798794.843916</v>
      </c>
      <c r="D10" s="18">
        <f>D6*Assumptions!B9</f>
        <v>2761168356.136424</v>
      </c>
      <c r="E10" s="18">
        <f>E6*Assumptions!B9</f>
        <v>2926924991.680968</v>
      </c>
      <c r="F10" s="18">
        <f>F6*Assumptions!B9</f>
        <v>3102632220.12072</v>
      </c>
    </row>
    <row r="11" spans="1:6" x14ac:dyDescent="0.25">
      <c r="A11" t="s">
        <v>47</v>
      </c>
      <c r="B11" s="18">
        <f>-B6*Assumptions!B10</f>
        <v>-2457284702.159278</v>
      </c>
      <c r="C11" s="18">
        <f>-C6*Assumptions!B10</f>
        <v>-2604798794.843916</v>
      </c>
      <c r="D11" s="18">
        <f>-D6*Assumptions!B10</f>
        <v>-2761168356.136424</v>
      </c>
      <c r="E11" s="18">
        <f>-E6*Assumptions!B10</f>
        <v>-2926924991.680968</v>
      </c>
      <c r="F11" s="18">
        <f>-F6*Assumptions!B10</f>
        <v>-3102632220.12072</v>
      </c>
    </row>
    <row r="12" spans="1:6" x14ac:dyDescent="0.25">
      <c r="A12" t="s">
        <v>48</v>
      </c>
      <c r="B12" s="18">
        <f>-(B6-Assumptions!B29)*Assumptions!B11</f>
        <v>-6789364425.576889</v>
      </c>
      <c r="C12" s="18">
        <f>-(C6-B6)*Assumptions!B11</f>
        <v>-7196939067.727325</v>
      </c>
      <c r="D12" s="18">
        <f>-(D6-C6)*Assumptions!B11</f>
        <v>-7628980961.672104</v>
      </c>
      <c r="E12" s="18">
        <f>-(E6-D6)*Assumptions!B11</f>
        <v>-8086958909.315094</v>
      </c>
      <c r="F12" s="18">
        <f>-(F6-E6)*Assumptions!B11</f>
        <v>-8572429886.706238</v>
      </c>
    </row>
    <row r="13" spans="1:6" x14ac:dyDescent="0.25">
      <c r="A13" s="19" t="s">
        <v>49</v>
      </c>
      <c r="B13" s="20">
        <f>B9+B10+B11+B12</f>
        <v>24548197619.408863</v>
      </c>
      <c r="C13" s="20">
        <f>C9+C10+C11+C12</f>
        <v>26021858809.619446</v>
      </c>
      <c r="D13" s="20">
        <f>D9+D10+D11+D12</f>
        <v>27583985855.33609</v>
      </c>
      <c r="E13" s="20">
        <f>E9+E10+E11+E12</f>
        <v>29239889480.382156</v>
      </c>
      <c r="F13" s="20">
        <f>F9+F10+F11+F12</f>
        <v>30995199218.446877</v>
      </c>
    </row>
    <row r="14" spans="1:6" x14ac:dyDescent="0.25">
      <c r="A14" t="s">
        <v>50</v>
      </c>
      <c r="B14" s="21">
        <f>1/(1+Assumptions!$B$26)^(1-0.5*Assumptions!$B$32)</f>
        <v>0.9599385776634479</v>
      </c>
      <c r="C14" s="21">
        <f>1/(1+Assumptions!$B$26)^(2-0.5*Assumptions!$B$32)</f>
        <v>0.8845661903890546</v>
      </c>
      <c r="D14" s="21">
        <f>1/(1+Assumptions!$B$26)^(3-0.5*Assumptions!$B$32)</f>
        <v>0.8151118867250411</v>
      </c>
      <c r="E14" s="21">
        <f>1/(1+Assumptions!$B$26)^(4-0.5*Assumptions!$B$32)</f>
        <v>0.7511109910138357</v>
      </c>
      <c r="F14" s="21">
        <f>1/(1+Assumptions!$B$26)^(5-0.5*Assumptions!$B$32)</f>
        <v>0.6921353129672801</v>
      </c>
    </row>
    <row r="15" spans="1:6" x14ac:dyDescent="0.25">
      <c r="A15" s="19" t="s">
        <v>51</v>
      </c>
      <c r="B15" s="20">
        <f>B13*B14</f>
        <v>23564761906.97658</v>
      </c>
      <c r="C15" s="20">
        <f>C13*C14</f>
        <v>23018056514.066933</v>
      </c>
      <c r="D15" s="20">
        <f>D13*D14</f>
        <v>22484034753.939846</v>
      </c>
      <c r="E15" s="20">
        <f>E13*E14</f>
        <v>21962402364.744873</v>
      </c>
      <c r="F15" s="20">
        <f>F13*F14</f>
        <v>21452871911.542927</v>
      </c>
    </row>
    <row r="17" spans="1:2" x14ac:dyDescent="0.25">
      <c r="A17" s="22" t="s">
        <v>52</v>
      </c>
      <c r="B17" s="23">
        <f>SUM(B15:F15)</f>
        <v>112482127451.27116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30995199218.446877</v>
      </c>
    </row>
    <row r="5" spans="1:2" x14ac:dyDescent="0.25">
      <c r="A5" t="s">
        <v>56</v>
      </c>
      <c r="B5" s="18">
        <f>IF(Assumptions!$B$33=0,B4,B4-Forecast!F11-Forecast!F10-Forecast!F12)</f>
        <v>39567629105.153114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0.29339862460797234</v>
      </c>
    </row>
    <row r="7" spans="1:2" x14ac:dyDescent="0.25">
      <c r="A7" t="s">
        <v>58</v>
      </c>
      <c r="B7" s="18">
        <f>-MAX(Forecast!F9,0)*B6</f>
        <v>-11609087958.450298</v>
      </c>
    </row>
    <row r="8" spans="1:2" x14ac:dyDescent="0.25">
      <c r="A8" t="s">
        <v>59</v>
      </c>
      <c r="B8" s="18">
        <f>IF(OR(Assumptions!$B$33=0,Assumptions!B12&lt;=0),B5,MAX(B5+B7,0))</f>
        <v>27958541146.702816</v>
      </c>
    </row>
    <row r="9" spans="1:2" x14ac:dyDescent="0.25">
      <c r="A9" t="s">
        <v>60</v>
      </c>
      <c r="B9" s="18">
        <f>B8*(1+Assumptions!B12)/(Assumptions!B26-Assumptions!B12)</f>
        <v>475972606296.4623</v>
      </c>
    </row>
    <row r="10" spans="1:2" x14ac:dyDescent="0.25">
      <c r="A10" t="s">
        <v>61</v>
      </c>
      <c r="B10" s="18">
        <f>B9/(1+Assumptions!B26)^(5-0.5*Assumptions!B32)</f>
        <v>329437448822.85394</v>
      </c>
    </row>
    <row r="11" spans="1:2" x14ac:dyDescent="0.25">
      <c r="A11" t="s">
        <v>62</v>
      </c>
      <c r="B11" s="18">
        <f>Forecast!B17+B10</f>
        <v>441919576274.1251</v>
      </c>
    </row>
    <row r="12" spans="1:2" x14ac:dyDescent="0.25">
      <c r="A12" t="s">
        <v>63</v>
      </c>
      <c r="B12" s="18">
        <f>-Assumptions!B30</f>
        <v>-126585000000</v>
      </c>
    </row>
    <row r="13" spans="1:2" x14ac:dyDescent="0.25">
      <c r="A13" t="s">
        <v>64</v>
      </c>
      <c r="B13" s="18">
        <f>B11+B12</f>
        <v>315334576274.1251</v>
      </c>
    </row>
    <row r="14" spans="1:2" x14ac:dyDescent="0.25">
      <c r="A14" s="19" t="s">
        <v>65</v>
      </c>
      <c r="B14" s="24">
        <f>B13/Assumptions!B31</f>
        <v>41.05437855903932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51914136360.63865</v>
      </c>
    </row>
    <row r="18" spans="1:2" x14ac:dyDescent="0.25">
      <c r="A18" t="s">
        <v>60</v>
      </c>
      <c r="B18" s="18">
        <f>B17*Assumptions!B13</f>
        <v>688066182935.6903</v>
      </c>
    </row>
    <row r="19" spans="1:2" x14ac:dyDescent="0.25">
      <c r="A19" t="s">
        <v>61</v>
      </c>
      <c r="B19" s="18">
        <f>B18/(1+Assumptions!B26)^(5-0.5*Assumptions!B32)</f>
        <v>476234902868.3959</v>
      </c>
    </row>
    <row r="20" spans="1:2" x14ac:dyDescent="0.25">
      <c r="A20" t="s">
        <v>62</v>
      </c>
      <c r="B20" s="18">
        <f>Forecast!B17+B19</f>
        <v>588717030319.667</v>
      </c>
    </row>
    <row r="21" spans="1:2" x14ac:dyDescent="0.25">
      <c r="A21" t="s">
        <v>63</v>
      </c>
      <c r="B21" s="18">
        <f>-Assumptions!B30</f>
        <v>-126585000000</v>
      </c>
    </row>
    <row r="22" spans="1:2" x14ac:dyDescent="0.25">
      <c r="A22" t="s">
        <v>64</v>
      </c>
      <c r="B22" s="18">
        <f>B20+B21</f>
        <v>462132030319.667</v>
      </c>
    </row>
    <row r="23" spans="1:2" x14ac:dyDescent="0.25">
      <c r="A23" s="19" t="s">
        <v>65</v>
      </c>
      <c r="B23" s="25">
        <f>B22/Assumptions!B31</f>
        <v>60.16639069896327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57.73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41.05437855903932</v>
      </c>
    </row>
    <row r="29" spans="1:2" x14ac:dyDescent="0.25">
      <c r="A29" s="19" t="s">
        <v>73</v>
      </c>
      <c r="B29" s="12">
        <f>B28/B26-1</f>
        <v>-0.2888553861243838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0.065208</v>
      </c>
      <c r="B5" s="31">
        <v>59.1975037033623</v>
      </c>
      <c r="C5" s="31">
        <v>59.49476759142548</v>
      </c>
      <c r="D5" s="31">
        <v>59.79203147948866</v>
      </c>
      <c r="E5" s="31">
        <v>60.089295367551856</v>
      </c>
      <c r="F5" s="31">
        <v>60.38655925561501</v>
      </c>
    </row>
    <row r="6" spans="1:6" x14ac:dyDescent="0.25">
      <c r="A6" s="30">
        <v>0.075208</v>
      </c>
      <c r="B6" s="31">
        <v>48.668058278105896</v>
      </c>
      <c r="C6" s="31">
        <v>48.915183851541826</v>
      </c>
      <c r="D6" s="31">
        <v>49.162309424977735</v>
      </c>
      <c r="E6" s="31">
        <v>49.40943499841365</v>
      </c>
      <c r="F6" s="31">
        <v>49.65656057184957</v>
      </c>
    </row>
    <row r="7" spans="1:6" x14ac:dyDescent="0.25">
      <c r="A7" s="30">
        <v>0.085208</v>
      </c>
      <c r="B7" s="31">
        <v>40.63615196623445</v>
      </c>
      <c r="C7" s="31">
        <v>40.845374814385984</v>
      </c>
      <c r="D7" s="32">
        <v>41.05459766253751</v>
      </c>
      <c r="E7" s="31">
        <v>41.263820510689044</v>
      </c>
      <c r="F7" s="31">
        <v>41.47304335884058</v>
      </c>
    </row>
    <row r="8" spans="1:6" x14ac:dyDescent="0.25">
      <c r="A8" s="30">
        <v>0.095208</v>
      </c>
      <c r="B8" s="31">
        <v>34.313483316184985</v>
      </c>
      <c r="C8" s="31">
        <v>34.49315918176493</v>
      </c>
      <c r="D8" s="31">
        <v>34.67283504734486</v>
      </c>
      <c r="E8" s="31">
        <v>34.852510912924785</v>
      </c>
      <c r="F8" s="31">
        <v>35.03218677850471</v>
      </c>
    </row>
    <row r="9" spans="1:6" x14ac:dyDescent="0.25">
      <c r="A9" s="30">
        <v>0.105208</v>
      </c>
      <c r="B9" s="31">
        <v>29.21154068968592</v>
      </c>
      <c r="C9" s="31">
        <v>29.367622059281917</v>
      </c>
      <c r="D9" s="31">
        <v>29.523703428877894</v>
      </c>
      <c r="E9" s="31">
        <v>29.679784798473897</v>
      </c>
      <c r="F9" s="31">
        <v>29.835866168069874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113097000000</v>
      </c>
      <c r="C5" s="18">
        <v>105856000000</v>
      </c>
      <c r="D5" s="18">
        <v>102769000000</v>
      </c>
      <c r="E5" s="18">
        <v>94950000000</v>
      </c>
      <c r="F5" s="8" t="s">
        <v>84</v>
      </c>
    </row>
    <row r="6" spans="1:6" x14ac:dyDescent="0.25">
      <c r="A6" t="s">
        <v>44</v>
      </c>
      <c r="B6" s="18">
        <v>37695000000</v>
      </c>
      <c r="C6" s="18">
        <v>33223000000</v>
      </c>
      <c r="D6" s="18">
        <v>32530000000</v>
      </c>
      <c r="E6" s="18">
        <v>30969000000</v>
      </c>
      <c r="F6" s="8" t="s">
        <v>85</v>
      </c>
    </row>
    <row r="7" spans="1:6" x14ac:dyDescent="0.25">
      <c r="A7" t="s">
        <v>86</v>
      </c>
      <c r="B7" s="18">
        <v>2314000000</v>
      </c>
      <c r="C7" s="18">
        <v>2189000000</v>
      </c>
      <c r="D7" s="18">
        <v>2057000000</v>
      </c>
      <c r="E7" s="18">
        <v>1978000000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33081000000</v>
      </c>
      <c r="C9" s="18">
        <v>53315000000</v>
      </c>
      <c r="D9" s="18">
        <v>-2580000000</v>
      </c>
      <c r="E9" s="18">
        <v>51944000000</v>
      </c>
      <c r="F9" s="8" t="s">
        <v>90</v>
      </c>
    </row>
    <row r="10" spans="1:6" x14ac:dyDescent="0.25">
      <c r="A10" t="s">
        <v>91</v>
      </c>
      <c r="B10" s="18">
        <v>365904000000</v>
      </c>
      <c r="C10" s="18">
        <v>326670000000</v>
      </c>
      <c r="D10" s="18">
        <v>334302000000</v>
      </c>
      <c r="E10" s="18">
        <v>302914000000</v>
      </c>
      <c r="F10" s="8" t="s">
        <v>92</v>
      </c>
    </row>
    <row r="11" spans="1:6" x14ac:dyDescent="0.25">
      <c r="A11" t="s">
        <v>93</v>
      </c>
      <c r="B11" s="18">
        <v>239319000000</v>
      </c>
      <c r="C11" s="18">
        <v>296486000000</v>
      </c>
      <c r="D11" s="18">
        <v>341419000000</v>
      </c>
      <c r="E11" s="18">
        <v>237462000000</v>
      </c>
      <c r="F11" s="8" t="s">
        <v>94</v>
      </c>
    </row>
    <row r="12" spans="1:6" x14ac:dyDescent="0.25">
      <c r="A12" t="s">
        <v>32</v>
      </c>
      <c r="B12" s="34">
        <v>7680900000</v>
      </c>
      <c r="C12" s="34">
        <v>7935800000</v>
      </c>
      <c r="D12" s="34">
        <v>8080500000</v>
      </c>
      <c r="E12" s="34">
        <v>8167500000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2026-09-19T01:04:20Z</dcterms:modified>
</cp:coreProperties>
</file>