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<sst xmlns="http://schemas.openxmlformats.org/spreadsheetml/2006/main" count="115" uniqueCount="103">
  <si>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Bajaj Finserv Ltd. (BAJAJFINSV.NS)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</si>
  <si>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</si>
  <si>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</si>
  <si>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</si>
  <si>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</si>
  <si>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</si>
  <si>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</si>
  <si>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</si>
  <si>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</si>
  <si>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</si>
  <si>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</si>
  <si>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</si>
  <si>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</si>
  <si>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</si>
  <si>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</si>
  <si>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</si>
  <si>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</si>
  <si>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</si>
  <si>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</si>
  <si>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</si>
  <si>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</si>
  <si>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</si>
  <si>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</si>
  <si>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</si>
  <si>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</si>
  <si>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</si>
  <si>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</si>
  <si>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</si>
  <si>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</si>
  <si>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</si>
  <si>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</si>
  <si>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</si>
  <si>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</si>
  <si>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</si>
  <si>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</si>
  <si>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</si>
  <si>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</si>
  <si>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</si>
  <si>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</si>
  <si>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</si>
  <si>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</si>
  <si>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</si>
  <si>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</si>
  <si>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</si>
  <si>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</si>
  <si>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</si>
  <si>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</si>
  <si>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</si>
  <si>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</si>
  <si>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</si>
  <si>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</si>
  <si>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</si>
  <si>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</si>
  <si>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</si>
  <si>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</si>
  <si>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</si>
  <si>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</si>
  <si>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</si>
  <si>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</si>
  <si>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</si>
  <si>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</si>
  <si>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</si>
  <si>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</si>
  <si>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</si>
  <si>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</si>
  <si>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</si>
  <si>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</si>
  <si>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</si>
  <si>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</si>
  <si>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</si>
  <si>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</si>
  <si>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</si>
  <si>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</si>
  <si>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</si>
  <si>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</si>
  <si>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</si>
  <si>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</si>
  <si>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</si>
  <si>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</si>
  <si>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</si>
  <si>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</si>
  <si>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</si>
  <si>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</si>
  <si>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</si>
  <si>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</si>
  <si>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</si>
  <si>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</si>
  <si>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</si>
  <si>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</si>
  <si>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</si>
  <si>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</si>
  <si>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</si>
  <si>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</si>
  <si>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</si>
  <si>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</si>
  <si>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</si>
  <si>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</si>
  <si>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</si>
  <si>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</si>
  <si>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Free cashflow is negative in at least one forecast year, so terminal value carries most of the valuation.</t>
  </si>
  <si>
    <t>Adjusted: Capital expenditure runs at 1.4% of revenue against depreciation of 0.9%.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</si>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</sst>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0.22919447792690484</v>
      </c>
    </row>
    <row r="7" spans="1:2" x14ac:dyDescent="0.25">
      <c r="A7" t="s">
        <v>5</v>
      </c>
      <c r="B7" s="6">
        <v>0.2086065417922429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0.009325626472606485</v>
      </c>
    </row>
    <row r="10" spans="1:2" x14ac:dyDescent="0.25">
      <c r="A10" t="s">
        <v>8</v>
      </c>
      <c r="B10" s="6">
        <v>0.014224533177892445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19.96202285984033</v>
      </c>
    </row>
    <row r="14" spans="1:3" x14ac:dyDescent="0.25">
      <c r="A14" t="s">
        <v>12</v>
      </c>
      <c r="B14" s="6">
        <v>0.08742791254409066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0.57857</v>
      </c>
      <c r="C19" s="8" t="s">
        <v>19</v>
      </c>
    </row>
    <row r="20" spans="1:2" x14ac:dyDescent="0.25">
      <c r="A20" t="s">
        <v>20</v>
      </c>
      <c r="B20" s="10">
        <f>B17+B19*B18</f>
        <v>0.11428560000000001</v>
      </c>
    </row>
    <row r="21" spans="1:3" x14ac:dyDescent="0.25">
      <c r="A21" t="s">
        <v>21</v>
      </c>
      <c r="B21" s="6">
        <v>0.08742789492151673</v>
      </c>
      <c r="C21" s="8" t="s">
        <v>22</v>
      </c>
    </row>
    <row r="22" spans="1:2" x14ac:dyDescent="0.25">
      <c r="A22" t="s">
        <v>23</v>
      </c>
      <c r="B22" s="11">
        <v>2964453326848</v>
      </c>
    </row>
    <row r="23" spans="1:2" x14ac:dyDescent="0.25">
      <c r="A23" t="s">
        <v>24</v>
      </c>
      <c r="B23" s="11">
        <v>3613785100000</v>
      </c>
    </row>
    <row r="24" spans="1:2" x14ac:dyDescent="0.25">
      <c r="A24" t="s">
        <v>25</v>
      </c>
      <c r="B24" s="10">
        <f>B22/(B22+B23)</f>
        <v>0.45064546683943085</v>
      </c>
    </row>
    <row r="25" spans="1:2" x14ac:dyDescent="0.25">
      <c r="A25" t="s">
        <v>26</v>
      </c>
      <c r="B25" s="10">
        <f>1-B24</f>
        <v>0.5493545331605691</v>
      </c>
    </row>
    <row r="26" spans="1:2" x14ac:dyDescent="0.25">
      <c r="A26" t="s">
        <v>27</v>
      </c>
      <c r="B26" s="12">
        <f>B24*B20+B25*B21*(1-B8)</f>
        <v>0.08742791254409066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1371476300000</v>
      </c>
      <c r="C29" s="8" t="s">
        <v>30</v>
      </c>
    </row>
    <row r="30" spans="1:2" x14ac:dyDescent="0.25">
      <c r="A30" t="s">
        <v>31</v>
      </c>
      <c r="B30" s="11">
        <v>2659748800000</v>
      </c>
    </row>
    <row r="31" spans="1:2" x14ac:dyDescent="0.25">
      <c r="A31" t="s">
        <v>32</v>
      </c>
      <c r="B31" s="13">
        <v>1607548503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0.22919447792690484</v>
      </c>
      <c r="C5" s="10">
        <f>Assumptions!B6</f>
        <v>0.22919447792690484</v>
      </c>
      <c r="D5" s="10">
        <f>Assumptions!B6</f>
        <v>0.22919447792690484</v>
      </c>
      <c r="E5" s="10">
        <f>Assumptions!B6</f>
        <v>0.22919447792690484</v>
      </c>
      <c r="F5" s="10">
        <f>Assumptions!B6</f>
        <v>0.22919447792690484</v>
      </c>
    </row>
    <row r="6" spans="1:6" x14ac:dyDescent="0.25">
      <c r="A6" t="s">
        <v>43</v>
      </c>
      <c r="B6" s="18">
        <f>Assumptions!B29*(1+B5)</f>
        <v>1685811094567.623</v>
      </c>
      <c r="C6" s="18">
        <f>B6*(1+C5)</f>
        <v>2072189688270.4333</v>
      </c>
      <c r="D6" s="18">
        <f>C6*(1+D5)</f>
        <v>2547124122039.091</v>
      </c>
      <c r="E6" s="18">
        <f>D6*(1+E5)</f>
        <v>3130910905404.866</v>
      </c>
      <c r="F6" s="18">
        <f>E6*(1+F5)</f>
        <v>3848498395804.7876</v>
      </c>
    </row>
    <row r="7" spans="1:6" x14ac:dyDescent="0.25">
      <c r="A7" t="s">
        <v>5</v>
      </c>
      <c r="B7" s="10">
        <f>Assumptions!B7</f>
        <v>0.2086065417922429</v>
      </c>
      <c r="C7" s="10">
        <f>Assumptions!B7</f>
        <v>0.2086065417922429</v>
      </c>
      <c r="D7" s="10">
        <f>Assumptions!B7</f>
        <v>0.2086065417922429</v>
      </c>
      <c r="E7" s="10">
        <f>Assumptions!B7</f>
        <v>0.2086065417922429</v>
      </c>
      <c r="F7" s="10">
        <f>Assumptions!B7</f>
        <v>0.2086065417922429</v>
      </c>
    </row>
    <row r="8" spans="1:6" x14ac:dyDescent="0.25">
      <c r="A8" t="s">
        <v>44</v>
      </c>
      <c r="B8" s="18">
        <f>B6*B7</f>
        <v>351671222552.74756</v>
      </c>
      <c r="C8" s="18">
        <f>C6*C7</f>
        <v>432272324807.6409</v>
      </c>
      <c r="D8" s="18">
        <f>D6*D7</f>
        <v>531346754614.17755</v>
      </c>
      <c r="E8" s="18">
        <f>E6*E7</f>
        <v>653128496636.1293</v>
      </c>
      <c r="F8" s="18">
        <f>F6*F7</f>
        <v>802821941441.8312</v>
      </c>
    </row>
    <row r="9" spans="1:6" x14ac:dyDescent="0.25">
      <c r="A9" t="s">
        <v>45</v>
      </c>
      <c r="B9" s="18">
        <f>B8*(1-Assumptions!B8)</f>
        <v>263050074469.45517</v>
      </c>
      <c r="C9" s="18">
        <f>C8*(1-Assumptions!B8)</f>
        <v>323339698956.1154</v>
      </c>
      <c r="D9" s="18">
        <f>D8*(1-Assumptions!B8)</f>
        <v>397447372451.4048</v>
      </c>
      <c r="E9" s="18">
        <f>E8*(1-Assumptions!B8)</f>
        <v>488540115483.8247</v>
      </c>
      <c r="F9" s="18">
        <f>F8*(1-Assumptions!B8)</f>
        <v>600510812198.4897</v>
      </c>
    </row>
    <row r="10" spans="1:6" x14ac:dyDescent="0.25">
      <c r="A10" t="s">
        <v>46</v>
      </c>
      <c r="B10" s="18">
        <f>B6*Assumptions!B9</f>
        <v>15721244571.31354</v>
      </c>
      <c r="C10" s="18">
        <f>C6*Assumptions!B9</f>
        <v>19324467013.196934</v>
      </c>
      <c r="D10" s="18">
        <f>D6*Assumptions!B9</f>
        <v>23753528141.502296</v>
      </c>
      <c r="E10" s="18">
        <f>E6*Assumptions!B9</f>
        <v>29197705622.81596</v>
      </c>
      <c r="F10" s="18">
        <f>F6*Assumptions!B9</f>
        <v>35889658519.70072</v>
      </c>
    </row>
    <row r="11" spans="1:6" x14ac:dyDescent="0.25">
      <c r="A11" t="s">
        <v>47</v>
      </c>
      <c r="B11" s="18">
        <f>-B6*Assumptions!B10</f>
        <v>-23979875846.33633</v>
      </c>
      <c r="C11" s="18">
        <f>-C6*Assumptions!B10</f>
        <v>-29475930971.68938</v>
      </c>
      <c r="D11" s="18">
        <f>-D6*Assumptions!B10</f>
        <v>-36231651582.15521</v>
      </c>
      <c r="E11" s="18">
        <f>-E6*Assumptions!B10</f>
        <v>-44535746050.956795</v>
      </c>
      <c r="F11" s="18">
        <f>-F6*Assumptions!B10</f>
        <v>-54743093116.19105</v>
      </c>
    </row>
    <row r="12" spans="1:6" x14ac:dyDescent="0.25">
      <c r="A12" t="s">
        <v>48</v>
      </c>
      <c r="B12" s="18">
        <f>-(B6-Assumptions!B29)*Assumptions!B11</f>
        <v>-314334794567.62305</v>
      </c>
      <c r="C12" s="18">
        <f>-(C6-B6)*Assumptions!B11</f>
        <v>-386378593702.8103</v>
      </c>
      <c r="D12" s="18">
        <f>-(D6-C6)*Assumptions!B11</f>
        <v>-474934433768.6575</v>
      </c>
      <c r="E12" s="18">
        <f>-(E6-D6)*Assumptions!B11</f>
        <v>-583786783365.7754</v>
      </c>
      <c r="F12" s="18">
        <f>-(F6-E6)*Assumptions!B11</f>
        <v>-717587490399.9214</v>
      </c>
    </row>
    <row r="13" spans="1:6" x14ac:dyDescent="0.25">
      <c r="A13" s="19" t="s">
        <v>49</v>
      </c>
      <c r="B13" s="20">
        <f>B9+B10+B11+B12</f>
        <v>-59543351373.19064</v>
      </c>
      <c r="C13" s="20">
        <f>C9+C10+C11+C12</f>
        <v>-73190358705.18732</v>
      </c>
      <c r="D13" s="20">
        <f>D9+D10+D11+D12</f>
        <v>-89965184757.90558</v>
      </c>
      <c r="E13" s="20">
        <f>E9+E10+E11+E12</f>
        <v>-110584708310.09149</v>
      </c>
      <c r="F13" s="20">
        <f>F9+F10+F11+F12</f>
        <v>-135930112797.922</v>
      </c>
    </row>
    <row r="14" spans="1:6" x14ac:dyDescent="0.25">
      <c r="A14" t="s">
        <v>50</v>
      </c>
      <c r="B14" s="21">
        <f>1/(1+Assumptions!$B$26)^(1-0.5*Assumptions!$B$32)</f>
        <v>0.9589583868861996</v>
      </c>
      <c r="C14" s="21">
        <f>1/(1+Assumptions!$B$26)^(2-0.5*Assumptions!$B$32)</f>
        <v>0.8818592716115498</v>
      </c>
      <c r="D14" s="21">
        <f>1/(1+Assumptions!$B$26)^(3-0.5*Assumptions!$B$32)</f>
        <v>0.8109588336282421</v>
      </c>
      <c r="E14" s="21">
        <f>1/(1+Assumptions!$B$26)^(4-0.5*Assumptions!$B$32)</f>
        <v>0.7457587066447138</v>
      </c>
      <c r="F14" s="21">
        <f>1/(1+Assumptions!$B$26)^(5-0.5*Assumptions!$B$32)</f>
        <v>0.6858005924272947</v>
      </c>
    </row>
    <row r="15" spans="1:6" x14ac:dyDescent="0.25">
      <c r="A15" s="19" t="s">
        <v>51</v>
      </c>
      <c r="B15" s="20">
        <f>B13*B14</f>
        <v>-57099596182.63308</v>
      </c>
      <c r="C15" s="20">
        <f>C13*C14</f>
        <v>-64543596416.74454</v>
      </c>
      <c r="D15" s="20">
        <f>D13*D14</f>
        <v>-72958061298.42041</v>
      </c>
      <c r="E15" s="20">
        <f>E13*E14</f>
        <v>-82469509044.01677</v>
      </c>
      <c r="F15" s="20">
        <f>F13*F14</f>
        <v>-93220951885.52391</v>
      </c>
    </row>
    <row r="17" spans="1:2" x14ac:dyDescent="0.25">
      <c r="A17" s="22" t="s">
        <v>52</v>
      </c>
      <c r="B17" s="23">
        <f>SUM(B15:F15)</f>
        <v>-370291714827.33875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-135930112797.922</v>
      </c>
    </row>
    <row r="5" spans="1:2" x14ac:dyDescent="0.25">
      <c r="A5" t="s">
        <v>56</v>
      </c>
      <c r="B5" s="18">
        <f>IF(Assumptions!$B$33=0,B4,B4-Forecast!F11-Forecast!F10-Forecast!F12)</f>
        <v>604289812770.389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0.2859498674109631</v>
      </c>
    </row>
    <row r="7" spans="1:2" x14ac:dyDescent="0.25">
      <c r="A7" t="s">
        <v>58</v>
      </c>
      <c r="B7" s="18">
        <f>-MAX(Forecast!F9,0)*B6</f>
        <v>-172796591839.48846</v>
      </c>
    </row>
    <row r="8" spans="1:2" x14ac:dyDescent="0.25">
      <c r="A8" t="s">
        <v>59</v>
      </c>
      <c r="B8" s="18">
        <f>IF(OR(Assumptions!$B$33=0,Assumptions!B12&lt;=0),B5,MAX(B5+B7,0))</f>
        <v>431493220930.9006</v>
      </c>
    </row>
    <row r="9" spans="1:2" x14ac:dyDescent="0.25">
      <c r="A9" t="s">
        <v>60</v>
      </c>
      <c r="B9" s="18">
        <f>B8*(1+Assumptions!B12)/(Assumptions!B26-Assumptions!B12)</f>
        <v>7084660265419.025</v>
      </c>
    </row>
    <row r="10" spans="1:2" x14ac:dyDescent="0.25">
      <c r="A10" t="s">
        <v>61</v>
      </c>
      <c r="B10" s="18">
        <f>B9/(1+Assumptions!B26)^(5-0.5*Assumptions!B32)</f>
        <v>4858664207170.482</v>
      </c>
    </row>
    <row r="11" spans="1:2" x14ac:dyDescent="0.25">
      <c r="A11" t="s">
        <v>62</v>
      </c>
      <c r="B11" s="18">
        <f>Forecast!B17+B10</f>
        <v>4488372492343.144</v>
      </c>
    </row>
    <row r="12" spans="1:2" x14ac:dyDescent="0.25">
      <c r="A12" t="s">
        <v>63</v>
      </c>
      <c r="B12" s="18">
        <f>-Assumptions!B30</f>
        <v>-2659748800000</v>
      </c>
    </row>
    <row r="13" spans="1:2" x14ac:dyDescent="0.25">
      <c r="A13" t="s">
        <v>64</v>
      </c>
      <c r="B13" s="18">
        <f>B11+B12</f>
        <v>1828623692343.1436</v>
      </c>
    </row>
    <row r="14" spans="1:2" x14ac:dyDescent="0.25">
      <c r="A14" s="19" t="s">
        <v>65</v>
      </c>
      <c r="B14" s="24">
        <f>B13/Assumptions!B31</f>
        <v>1137.5231844828159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838711599961.5319</v>
      </c>
    </row>
    <row r="18" spans="1:2" x14ac:dyDescent="0.25">
      <c r="A18" t="s">
        <v>60</v>
      </c>
      <c r="B18" s="18">
        <f>B17*Assumptions!B13</f>
        <v>16742380131245.357</v>
      </c>
    </row>
    <row r="19" spans="1:2" x14ac:dyDescent="0.25">
      <c r="A19" t="s">
        <v>61</v>
      </c>
      <c r="B19" s="18">
        <f>B18/(1+Assumptions!B26)^(5-0.5*Assumptions!B32)</f>
        <v>11481934212651.035</v>
      </c>
    </row>
    <row r="20" spans="1:2" x14ac:dyDescent="0.25">
      <c r="A20" t="s">
        <v>62</v>
      </c>
      <c r="B20" s="18">
        <f>Forecast!B17+B19</f>
        <v>11111642497823.697</v>
      </c>
    </row>
    <row r="21" spans="1:2" x14ac:dyDescent="0.25">
      <c r="A21" t="s">
        <v>63</v>
      </c>
      <c r="B21" s="18">
        <f>-Assumptions!B30</f>
        <v>-2659748800000</v>
      </c>
    </row>
    <row r="22" spans="1:2" x14ac:dyDescent="0.25">
      <c r="A22" t="s">
        <v>64</v>
      </c>
      <c r="B22" s="18">
        <f>B20+B21</f>
        <v>8451893697823.697</v>
      </c>
    </row>
    <row r="23" spans="1:2" x14ac:dyDescent="0.25">
      <c r="A23" s="19" t="s">
        <v>65</v>
      </c>
      <c r="B23" s="25">
        <f>B22/Assumptions!B31</f>
        <v>5257.629043261096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1852.5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1137.5231844828159</v>
      </c>
    </row>
    <row r="29" spans="1:2" x14ac:dyDescent="0.25">
      <c r="A29" s="19" t="s">
        <v>73</v>
      </c>
      <c r="B29" s="12">
        <f>B28/B26-1</f>
        <v>-0.38595239704031536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0.067428</v>
      </c>
      <c r="B5" s="31">
        <v>2321.745669547414</v>
      </c>
      <c r="C5" s="31">
        <v>2342.52766548183</v>
      </c>
      <c r="D5" s="31">
        <v>2363.3096614162428</v>
      </c>
      <c r="E5" s="31">
        <v>2384.091657350659</v>
      </c>
      <c r="F5" s="31">
        <v>2404.8736532850726</v>
      </c>
    </row>
    <row r="6" spans="1:6" x14ac:dyDescent="0.25">
      <c r="A6" s="30">
        <v>0.077428</v>
      </c>
      <c r="B6" s="31">
        <v>1632.0984279887339</v>
      </c>
      <c r="C6" s="31">
        <v>1649.4526836343302</v>
      </c>
      <c r="D6" s="31">
        <v>1666.8069392799248</v>
      </c>
      <c r="E6" s="31">
        <v>1684.1611949255207</v>
      </c>
      <c r="F6" s="31">
        <v>1701.5154505711164</v>
      </c>
    </row>
    <row r="7" spans="1:6" x14ac:dyDescent="0.25">
      <c r="A7" s="30">
        <v>0.087428</v>
      </c>
      <c r="B7" s="31">
        <v>1108.0322706643835</v>
      </c>
      <c r="C7" s="31">
        <v>1122.7756943809513</v>
      </c>
      <c r="D7" s="32">
        <v>1137.5191180975185</v>
      </c>
      <c r="E7" s="31">
        <v>1152.262541814086</v>
      </c>
      <c r="F7" s="31">
        <v>1167.0059655306532</v>
      </c>
    </row>
    <row r="8" spans="1:6" x14ac:dyDescent="0.25">
      <c r="A8" s="30">
        <v>0.097428</v>
      </c>
      <c r="B8" s="31">
        <v>698.149051264328</v>
      </c>
      <c r="C8" s="31">
        <v>710.8452946551371</v>
      </c>
      <c r="D8" s="31">
        <v>723.5415380459455</v>
      </c>
      <c r="E8" s="31">
        <v>736.2377814367547</v>
      </c>
      <c r="F8" s="31">
        <v>748.9340248275631</v>
      </c>
    </row>
    <row r="9" spans="1:6" x14ac:dyDescent="0.25">
      <c r="A9" s="30">
        <v>0.107428</v>
      </c>
      <c r="B9" s="31">
        <v>370.21340865720003</v>
      </c>
      <c r="C9" s="31">
        <v>381.26726845009335</v>
      </c>
      <c r="D9" s="31">
        <v>392.32112824298514</v>
      </c>
      <c r="E9" s="31">
        <v>403.3749880358787</v>
      </c>
      <c r="F9" s="31">
        <v>414.4288478287711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1371476300000</v>
      </c>
      <c r="C5" s="18">
        <v>1207014700000</v>
      </c>
      <c r="D5" s="18">
        <v>998800700000</v>
      </c>
      <c r="E5" s="18">
        <v>738459200000</v>
      </c>
      <c r="F5" s="8" t="s">
        <v>84</v>
      </c>
    </row>
    <row r="6" spans="1:6" x14ac:dyDescent="0.25">
      <c r="A6" t="s">
        <v>44</v>
      </c>
      <c r="B6" s="18">
        <v>268831500000</v>
      </c>
      <c r="C6" s="18">
        <v>237482100000</v>
      </c>
      <c r="D6" s="18">
        <v>213750300000</v>
      </c>
      <c r="E6" s="18">
        <v>168111300000</v>
      </c>
      <c r="F6" s="8" t="s">
        <v>85</v>
      </c>
    </row>
    <row r="7" spans="1:6" x14ac:dyDescent="0.25">
      <c r="A7" t="s">
        <v>86</v>
      </c>
      <c r="B7" s="18">
        <v>12913600000</v>
      </c>
      <c r="C7" s="18">
        <v>11703200000</v>
      </c>
      <c r="D7" s="18">
        <v>9001300000</v>
      </c>
      <c r="E7" s="18">
        <v>6778000000</v>
      </c>
      <c r="F7" s="8" t="s">
        <v>87</v>
      </c>
    </row>
    <row r="8" spans="1:6" x14ac:dyDescent="0.25">
      <c r="A8" t="s">
        <v>88</v>
      </c>
      <c r="B8" s="18">
        <v>14481800000</v>
      </c>
      <c r="C8" s="18">
        <v>18635700000</v>
      </c>
      <c r="D8" s="18">
        <v>14354600000</v>
      </c>
      <c r="E8" s="18">
        <v>12204900000</v>
      </c>
      <c r="F8" s="8" t="s">
        <v>89</v>
      </c>
    </row>
    <row r="9" spans="1:6" x14ac:dyDescent="0.25">
      <c r="A9" t="s">
        <v>90</v>
      </c>
      <c r="B9" s="18">
        <v>824707500000</v>
      </c>
      <c r="C9" s="18">
        <v>794227800000</v>
      </c>
      <c r="D9" s="18">
        <v>777632600000</v>
      </c>
      <c r="E9" s="18">
        <v>494457800000</v>
      </c>
      <c r="F9" s="8" t="s">
        <v>91</v>
      </c>
    </row>
    <row r="10" spans="1:6" x14ac:dyDescent="0.25">
      <c r="A10" t="s">
        <v>92</v>
      </c>
      <c r="B10" s="18">
        <v>3613785100000</v>
      </c>
      <c r="C10" s="18">
        <v>2844515200000</v>
      </c>
      <c r="D10" s="18">
        <v>2287817000000</v>
      </c>
      <c r="E10" s="18">
        <v>1675994100000</v>
      </c>
      <c r="F10" s="8" t="s">
        <v>93</v>
      </c>
    </row>
    <row r="11" spans="1:6" x14ac:dyDescent="0.25">
      <c r="A11" t="s">
        <v>94</v>
      </c>
      <c r="B11" s="18">
        <v>954036300000</v>
      </c>
      <c r="C11" s="18">
        <v>912840000000</v>
      </c>
      <c r="D11" s="18">
        <v>819510900000</v>
      </c>
      <c r="E11" s="18">
        <v>608724100000</v>
      </c>
      <c r="F11" s="8" t="s">
        <v>95</v>
      </c>
    </row>
    <row r="12" spans="1:6" x14ac:dyDescent="0.25">
      <c r="A12" t="s">
        <v>32</v>
      </c>
      <c r="B12" s="34">
        <v>1607548503</v>
      </c>
      <c r="C12" s="34">
        <v>1611651382</v>
      </c>
      <c r="D12" s="34">
        <v>1608289294</v>
      </c>
      <c r="E12" s="34">
        <v>1604279313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