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<sst xmlns="http://schemas.openxmlformats.org/spreadsheetml/2006/main" count="115" uniqueCount="103">
  <si>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Bajaj Finance Limited (BAJFINANCE.NS)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</si>
  <si>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</si>
  <si>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</si>
  <si>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</si>
  <si>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</si>
  <si>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</si>
  <si>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</si>
  <si>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</si>
  <si>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</si>
  <si>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</si>
  <si>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</si>
  <si>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</si>
  <si>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</si>
  <si>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</si>
  <si>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</si>
  <si>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</si>
  <si>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</si>
  <si>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</si>
  <si>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</si>
  <si>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</si>
  <si>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</si>
  <si>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</si>
  <si>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</si>
  <si>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</si>
  <si>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</si>
  <si>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</si>
  <si>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</si>
  <si>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</si>
  <si>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</si>
  <si>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</si>
  <si>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</si>
  <si>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</si>
  <si>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</si>
  <si>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</si>
  <si>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</si>
  <si>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</si>
  <si>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</si>
  <si>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</si>
  <si>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</si>
  <si>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</si>
  <si>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</si>
  <si>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</si>
  <si>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</si>
  <si>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</si>
  <si>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</si>
  <si>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</si>
  <si>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</si>
  <si>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</si>
  <si>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</si>
  <si>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</si>
  <si>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</si>
  <si>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</si>
  <si>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</si>
  <si>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</si>
  <si>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</si>
  <si>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</si>
  <si>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</si>
  <si>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</si>
  <si>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</si>
  <si>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</si>
  <si>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</si>
  <si>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</si>
  <si>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</si>
  <si>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</si>
  <si>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</si>
  <si>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</si>
  <si>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</si>
  <si>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</si>
  <si>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</si>
  <si>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</si>
  <si>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</si>
  <si>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</si>
  <si>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</si>
  <si>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</si>
  <si>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</si>
  <si>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</si>
  <si>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</si>
  <si>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</si>
  <si>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</si>
  <si>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</si>
  <si>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</si>
  <si>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</si>
  <si>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</si>
  <si>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</si>
  <si>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</si>
  <si>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</si>
  <si>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</si>
  <si>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</si>
  <si>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</si>
  <si>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</si>
  <si>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</si>
  <si>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</si>
  <si>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</si>
  <si>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</si>
  <si>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</si>
  <si>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</si>
  <si>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</si>
  <si>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</si>
  <si>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</si>
  <si>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2.7% of revenue against depreciation of 2.0%.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</si>
  <si>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</si>
  <si>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37.1x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</si>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</sst>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0.22576659990078096</v>
      </c>
    </row>
    <row r="7" spans="1:2" x14ac:dyDescent="0.25">
      <c r="A7" t="s">
        <v>5</v>
      </c>
      <c r="B7" s="6">
        <v>0.5476134441935244</v>
      </c>
    </row>
    <row r="8" spans="1:2" x14ac:dyDescent="0.25">
      <c r="A8" t="s">
        <v>6</v>
      </c>
      <c r="B8" s="6">
        <v>0.2513863947090741</v>
      </c>
    </row>
    <row r="9" spans="1:2" x14ac:dyDescent="0.25">
      <c r="A9" t="s">
        <v>7</v>
      </c>
      <c r="B9" s="6">
        <v>0.01986508873580424</v>
      </c>
    </row>
    <row r="10" spans="1:2" x14ac:dyDescent="0.25">
      <c r="A10" t="s">
        <v>8</v>
      </c>
      <c r="B10" s="6">
        <v>0.027058837161786566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0.09588180225041158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0.53636</v>
      </c>
      <c r="C19" s="8" t="s">
        <v>19</v>
      </c>
    </row>
    <row r="20" spans="1:2" x14ac:dyDescent="0.25">
      <c r="A20" t="s">
        <v>20</v>
      </c>
      <c r="B20" s="10">
        <f>B17+B19*B18</f>
        <v>0.1109088</v>
      </c>
    </row>
    <row r="21" spans="1:3" x14ac:dyDescent="0.25">
      <c r="A21" t="s">
        <v>21</v>
      </c>
      <c r="B21" s="6">
        <v>0.0912627729025436</v>
      </c>
      <c r="C21" s="8" t="s">
        <v>22</v>
      </c>
    </row>
    <row r="22" spans="1:2" x14ac:dyDescent="0.25">
      <c r="A22" t="s">
        <v>23</v>
      </c>
      <c r="B22" s="11">
        <v>6471616036864</v>
      </c>
    </row>
    <row r="23" spans="1:2" x14ac:dyDescent="0.25">
      <c r="A23" t="s">
        <v>24</v>
      </c>
      <c r="B23" s="11">
        <v>3528467100000</v>
      </c>
    </row>
    <row r="24" spans="1:2" x14ac:dyDescent="0.25">
      <c r="A24" t="s">
        <v>25</v>
      </c>
      <c r="B24" s="10">
        <f>B22/(B22+B23)</f>
        <v>0.6471562234325066</v>
      </c>
    </row>
    <row r="25" spans="1:2" x14ac:dyDescent="0.25">
      <c r="A25" t="s">
        <v>26</v>
      </c>
      <c r="B25" s="10">
        <f>1-B24</f>
        <v>0.35284377656749344</v>
      </c>
    </row>
    <row r="26" spans="1:2" x14ac:dyDescent="0.25">
      <c r="A26" t="s">
        <v>27</v>
      </c>
      <c r="B26" s="12">
        <f>B24*B20+B25*B21*(1-B8)</f>
        <v>0.09588180225041158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496654500000</v>
      </c>
      <c r="C29" s="8" t="s">
        <v>30</v>
      </c>
    </row>
    <row r="30" spans="1:2" x14ac:dyDescent="0.25">
      <c r="A30" t="s">
        <v>31</v>
      </c>
      <c r="B30" s="11">
        <v>3488305300000</v>
      </c>
    </row>
    <row r="31" spans="1:2" x14ac:dyDescent="0.25">
      <c r="A31" t="s">
        <v>32</v>
      </c>
      <c r="B31" s="13">
        <v>6233970152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0.22576659990078096</v>
      </c>
      <c r="C5" s="10">
        <f>Assumptions!B6</f>
        <v>0.22576659990078096</v>
      </c>
      <c r="D5" s="10">
        <f>Assumptions!B6</f>
        <v>0.22576659990078096</v>
      </c>
      <c r="E5" s="10">
        <f>Assumptions!B6</f>
        <v>0.22576659990078096</v>
      </c>
      <c r="F5" s="10">
        <f>Assumptions!B6</f>
        <v>0.22576659990078096</v>
      </c>
    </row>
    <row r="6" spans="1:6" x14ac:dyDescent="0.25">
      <c r="A6" t="s">
        <v>43</v>
      </c>
      <c r="B6" s="18">
        <f>Assumptions!B29*(1+B5)</f>
        <v>608782497790.4224</v>
      </c>
      <c r="C6" s="18">
        <f>B6*(1+C5)</f>
        <v>746225252395.6708</v>
      </c>
      <c r="D6" s="18">
        <f>C6*(1+D5)</f>
        <v>914697990389.1434</v>
      </c>
      <c r="E6" s="18">
        <f>D6*(1+E5)</f>
        <v>1121206245615.3777</v>
      </c>
      <c r="F6" s="18">
        <f>E6*(1+F5)</f>
        <v>1374337167475.4814</v>
      </c>
    </row>
    <row r="7" spans="1:6" x14ac:dyDescent="0.25">
      <c r="A7" t="s">
        <v>5</v>
      </c>
      <c r="B7" s="10">
        <f>Assumptions!B7</f>
        <v>0.5476134441935244</v>
      </c>
      <c r="C7" s="10">
        <f>Assumptions!B7</f>
        <v>0.5476134441935244</v>
      </c>
      <c r="D7" s="10">
        <f>Assumptions!B7</f>
        <v>0.5476134441935244</v>
      </c>
      <c r="E7" s="10">
        <f>Assumptions!B7</f>
        <v>0.5476134441935244</v>
      </c>
      <c r="F7" s="10">
        <f>Assumptions!B7</f>
        <v>0.5476134441935244</v>
      </c>
    </row>
    <row r="8" spans="1:6" x14ac:dyDescent="0.25">
      <c r="A8" t="s">
        <v>44</v>
      </c>
      <c r="B8" s="18">
        <f>B6*B7</f>
        <v>333377480379.7499</v>
      </c>
      <c r="C8" s="18">
        <f>C6*C7</f>
        <v>408642980608.5753</v>
      </c>
      <c r="D8" s="18">
        <f>D6*D7</f>
        <v>500900916913.89417</v>
      </c>
      <c r="E8" s="18">
        <f>E6*E7</f>
        <v>613987613812.7277</v>
      </c>
      <c r="F8" s="18">
        <f>F6*F7</f>
        <v>752605509764.421</v>
      </c>
    </row>
    <row r="9" spans="1:6" x14ac:dyDescent="0.25">
      <c r="A9" t="s">
        <v>45</v>
      </c>
      <c r="B9" s="18">
        <f>B8*(1-Assumptions!B8)</f>
        <v>249570917509.88947</v>
      </c>
      <c r="C9" s="18">
        <f>C8*(1-Assumptions!B8)</f>
        <v>305915694990.2155</v>
      </c>
      <c r="D9" s="18">
        <f>D8*(1-Assumptions!B8)</f>
        <v>374981241304.44086</v>
      </c>
      <c r="E9" s="18">
        <f>E8*(1-Assumptions!B8)</f>
        <v>459639481180.3187</v>
      </c>
      <c r="F9" s="18">
        <f>F8*(1-Assumptions!B8)</f>
        <v>563410724026.5583</v>
      </c>
    </row>
    <row r="10" spans="1:6" x14ac:dyDescent="0.25">
      <c r="A10" t="s">
        <v>46</v>
      </c>
      <c r="B10" s="18">
        <f>B6*Assumptions!B9</f>
        <v>12093518339.41129</v>
      </c>
      <c r="C10" s="18">
        <f>C6*Assumptions!B9</f>
        <v>14823830855.737915</v>
      </c>
      <c r="D10" s="18">
        <f>D6*Assumptions!B9</f>
        <v>18170556745.54215</v>
      </c>
      <c r="E10" s="18">
        <f>E6*Assumptions!B9</f>
        <v>22272861560.287403</v>
      </c>
      <c r="F10" s="18">
        <f>F6*Assumptions!B9</f>
        <v>27301329784.814293</v>
      </c>
    </row>
    <row r="11" spans="1:6" x14ac:dyDescent="0.25">
      <c r="A11" t="s">
        <v>47</v>
      </c>
      <c r="B11" s="18">
        <f>-B6*Assumptions!B10</f>
        <v>-16472946474.656729</v>
      </c>
      <c r="C11" s="18">
        <f>-C6*Assumptions!B10</f>
        <v>-20191987590.587536</v>
      </c>
      <c r="D11" s="18">
        <f>-D6*Assumptions!B10</f>
        <v>-24750663974.153244</v>
      </c>
      <c r="E11" s="18">
        <f>-E6*Assumptions!B10</f>
        <v>-30338537224.88458</v>
      </c>
      <c r="F11" s="18">
        <f>-F6*Assumptions!B10</f>
        <v>-37187965620.11005</v>
      </c>
    </row>
    <row r="12" spans="1:6" x14ac:dyDescent="0.25">
      <c r="A12" t="s">
        <v>48</v>
      </c>
      <c r="B12" s="18">
        <f>-(B6-Assumptions!B29)*Assumptions!B11</f>
        <v>-112127997790.42236</v>
      </c>
      <c r="C12" s="18">
        <f>-(C6-B6)*Assumptions!B11</f>
        <v>-137442754605.2484</v>
      </c>
      <c r="D12" s="18">
        <f>-(D6-C6)*Assumptions!B11</f>
        <v>-168472737993.47266</v>
      </c>
      <c r="E12" s="18">
        <f>-(E6-D6)*Assumptions!B11</f>
        <v>-206508255226.23425</v>
      </c>
      <c r="F12" s="18">
        <f>-(F6-E6)*Assumptions!B11</f>
        <v>-253130921860.10376</v>
      </c>
    </row>
    <row r="13" spans="1:6" x14ac:dyDescent="0.25">
      <c r="A13" s="19" t="s">
        <v>49</v>
      </c>
      <c r="B13" s="20">
        <f>B9+B10+B11+B12</f>
        <v>133063491584.22165</v>
      </c>
      <c r="C13" s="20">
        <f>C9+C10+C11+C12</f>
        <v>163104783650.1175</v>
      </c>
      <c r="D13" s="20">
        <f>D9+D10+D11+D12</f>
        <v>199928396082.35712</v>
      </c>
      <c r="E13" s="20">
        <f>E9+E10+E11+E12</f>
        <v>245065550289.4873</v>
      </c>
      <c r="F13" s="20">
        <f>F9+F10+F11+F12</f>
        <v>300393166331.15894</v>
      </c>
    </row>
    <row r="14" spans="1:6" x14ac:dyDescent="0.25">
      <c r="A14" t="s">
        <v>50</v>
      </c>
      <c r="B14" s="21">
        <f>1/(1+Assumptions!$B$26)^(1-0.5*Assumptions!$B$32)</f>
        <v>0.9552524107016112</v>
      </c>
      <c r="C14" s="21">
        <f>1/(1+Assumptions!$B$26)^(2-0.5*Assumptions!$B$32)</f>
        <v>0.8716746721589723</v>
      </c>
      <c r="D14" s="21">
        <f>1/(1+Assumptions!$B$26)^(3-0.5*Assumptions!$B$32)</f>
        <v>0.7954093866409443</v>
      </c>
      <c r="E14" s="21">
        <f>1/(1+Assumptions!$B$26)^(4-0.5*Assumptions!$B$32)</f>
        <v>0.7258167669246426</v>
      </c>
      <c r="F14" s="21">
        <f>1/(1+Assumptions!$B$26)^(5-0.5*Assumptions!$B$32)</f>
        <v>0.6623130025830941</v>
      </c>
    </row>
    <row r="15" spans="1:6" x14ac:dyDescent="0.25">
      <c r="A15" s="19" t="s">
        <v>51</v>
      </c>
      <c r="B15" s="20">
        <f>B13*B14</f>
        <v>127109221112.20128</v>
      </c>
      <c r="C15" s="20">
        <f>C13*C14</f>
        <v>142174308815.77628</v>
      </c>
      <c r="D15" s="20">
        <f>D13*D14</f>
        <v>159024922899.97543</v>
      </c>
      <c r="E15" s="20">
        <f>E13*E14</f>
        <v>177872685395.7241</v>
      </c>
      <c r="F15" s="20">
        <f>F13*F14</f>
        <v>198954299948.2327</v>
      </c>
    </row>
    <row r="17" spans="1:2" x14ac:dyDescent="0.25">
      <c r="A17" s="22" t="s">
        <v>52</v>
      </c>
      <c r="B17" s="23">
        <f>SUM(B15:F15)</f>
        <v>805135438171.9098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300393166331.15894</v>
      </c>
    </row>
    <row r="5" spans="1:2" x14ac:dyDescent="0.25">
      <c r="A5" t="s">
        <v>56</v>
      </c>
      <c r="B5" s="18">
        <f>IF(Assumptions!$B$33=0,B4,B4-Forecast!F11-Forecast!F10-Forecast!F12)</f>
        <v>569865253991.3544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0.2607376938400497</v>
      </c>
    </row>
    <row r="7" spans="1:2" x14ac:dyDescent="0.25">
      <c r="A7" t="s">
        <v>58</v>
      </c>
      <c r="B7" s="18">
        <f>-MAX(Forecast!F9,0)*B6</f>
        <v>-148585352125.2799</v>
      </c>
    </row>
    <row r="8" spans="1:2" x14ac:dyDescent="0.25">
      <c r="A8" t="s">
        <v>59</v>
      </c>
      <c r="B8" s="18">
        <f>IF(OR(Assumptions!$B$33=0,Assumptions!B12&lt;=0),B5,MAX(B5+B7,0))</f>
        <v>421279901866.07446</v>
      </c>
    </row>
    <row r="9" spans="1:2" x14ac:dyDescent="0.25">
      <c r="A9" t="s">
        <v>60</v>
      </c>
      <c r="B9" s="18">
        <f>B8*(1+Assumptions!B12)/(Assumptions!B26-Assumptions!B12)</f>
        <v>6091999437136.476</v>
      </c>
    </row>
    <row r="10" spans="1:2" x14ac:dyDescent="0.25">
      <c r="A10" t="s">
        <v>61</v>
      </c>
      <c r="B10" s="18">
        <f>B9/(1+Assumptions!B26)^(5-0.5*Assumptions!B32)</f>
        <v>4034810438944.3784</v>
      </c>
    </row>
    <row r="11" spans="1:2" x14ac:dyDescent="0.25">
      <c r="A11" t="s">
        <v>62</v>
      </c>
      <c r="B11" s="18">
        <f>Forecast!B17+B10</f>
        <v>4839945877116.288</v>
      </c>
    </row>
    <row r="12" spans="1:2" x14ac:dyDescent="0.25">
      <c r="A12" t="s">
        <v>63</v>
      </c>
      <c r="B12" s="18">
        <f>-Assumptions!B30</f>
        <v>-3488305300000</v>
      </c>
    </row>
    <row r="13" spans="1:2" x14ac:dyDescent="0.25">
      <c r="A13" t="s">
        <v>64</v>
      </c>
      <c r="B13" s="18">
        <f>B11+B12</f>
        <v>1351640577116.288</v>
      </c>
    </row>
    <row r="14" spans="1:2" x14ac:dyDescent="0.25">
      <c r="A14" s="19" t="s">
        <v>65</v>
      </c>
      <c r="B14" s="24">
        <f>B13/Assumptions!B31</f>
        <v>216.8185833682009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779906839549.2354</v>
      </c>
    </row>
    <row r="18" spans="1:2" x14ac:dyDescent="0.25">
      <c r="A18" t="s">
        <v>60</v>
      </c>
      <c r="B18" s="18">
        <f>B17*Assumptions!B13</f>
        <v>15598136790984.707</v>
      </c>
    </row>
    <row r="19" spans="1:2" x14ac:dyDescent="0.25">
      <c r="A19" t="s">
        <v>61</v>
      </c>
      <c r="B19" s="18">
        <f>B18/(1+Assumptions!B26)^(5-0.5*Assumptions!B32)</f>
        <v>10330848812738.91</v>
      </c>
    </row>
    <row r="20" spans="1:2" x14ac:dyDescent="0.25">
      <c r="A20" t="s">
        <v>62</v>
      </c>
      <c r="B20" s="18">
        <f>Forecast!B17+B19</f>
        <v>11135984250910.82</v>
      </c>
    </row>
    <row r="21" spans="1:2" x14ac:dyDescent="0.25">
      <c r="A21" t="s">
        <v>63</v>
      </c>
      <c r="B21" s="18">
        <f>-Assumptions!B30</f>
        <v>-3488305300000</v>
      </c>
    </row>
    <row r="22" spans="1:2" x14ac:dyDescent="0.25">
      <c r="A22" t="s">
        <v>64</v>
      </c>
      <c r="B22" s="18">
        <f>B20+B21</f>
        <v>7647678950910.82</v>
      </c>
    </row>
    <row r="23" spans="1:2" x14ac:dyDescent="0.25">
      <c r="A23" s="19" t="s">
        <v>65</v>
      </c>
      <c r="B23" s="25">
        <f>B22/Assumptions!B31</f>
        <v>1226.7750349201256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1040.3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216.8185833682009</v>
      </c>
    </row>
    <row r="29" spans="1:2" x14ac:dyDescent="0.25">
      <c r="A29" s="19" t="s">
        <v>73</v>
      </c>
      <c r="B29" s="12">
        <f>B28/B26-1</f>
        <v>-0.7915807138631156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0.075882</v>
      </c>
      <c r="B5" s="31">
        <v>456.0963904170716</v>
      </c>
      <c r="C5" s="31">
        <v>460.43047923824474</v>
      </c>
      <c r="D5" s="31">
        <v>464.7645680594178</v>
      </c>
      <c r="E5" s="31">
        <v>469.0986568805908</v>
      </c>
      <c r="F5" s="31">
        <v>473.432745701764</v>
      </c>
    </row>
    <row r="6" spans="1:6" x14ac:dyDescent="0.25">
      <c r="A6" s="30">
        <v>0.085882</v>
      </c>
      <c r="B6" s="31">
        <v>318.53884638921903</v>
      </c>
      <c r="C6" s="31">
        <v>322.2121215350156</v>
      </c>
      <c r="D6" s="31">
        <v>325.88539668081205</v>
      </c>
      <c r="E6" s="31">
        <v>329.55867182660853</v>
      </c>
      <c r="F6" s="31">
        <v>333.2319469724048</v>
      </c>
    </row>
    <row r="7" spans="1:6" x14ac:dyDescent="0.25">
      <c r="A7" s="30">
        <v>0.095882</v>
      </c>
      <c r="B7" s="31">
        <v>210.50224184319288</v>
      </c>
      <c r="C7" s="31">
        <v>213.659450666232</v>
      </c>
      <c r="D7" s="32">
        <v>216.8166594892705</v>
      </c>
      <c r="E7" s="31">
        <v>219.97386831230935</v>
      </c>
      <c r="F7" s="31">
        <v>223.131077135348</v>
      </c>
    </row>
    <row r="8" spans="1:6" x14ac:dyDescent="0.25">
      <c r="A8" s="30">
        <v>0.105882</v>
      </c>
      <c r="B8" s="31">
        <v>123.58067569669039</v>
      </c>
      <c r="C8" s="31">
        <v>126.32519175227797</v>
      </c>
      <c r="D8" s="31">
        <v>129.0697078078654</v>
      </c>
      <c r="E8" s="31">
        <v>131.8142238634532</v>
      </c>
      <c r="F8" s="31">
        <v>134.55873991904065</v>
      </c>
    </row>
    <row r="9" spans="1:6" x14ac:dyDescent="0.25">
      <c r="A9" s="30">
        <v>0.115882</v>
      </c>
      <c r="B9" s="31">
        <v>52.27223036569199</v>
      </c>
      <c r="C9" s="31">
        <v>54.68035664397686</v>
      </c>
      <c r="D9" s="31">
        <v>57.08848292226172</v>
      </c>
      <c r="E9" s="31">
        <v>59.49660920054643</v>
      </c>
      <c r="F9" s="31">
        <v>61.9047354788313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496654500000</v>
      </c>
      <c r="C5" s="18">
        <v>414795700000</v>
      </c>
      <c r="D5" s="18">
        <v>343263200000</v>
      </c>
      <c r="E5" s="18">
        <v>269669000000</v>
      </c>
      <c r="F5" s="8" t="s">
        <v>84</v>
      </c>
    </row>
    <row r="6" spans="1:6" x14ac:dyDescent="0.25">
      <c r="A6" t="s">
        <v>44</v>
      </c>
      <c r="B6" s="18">
        <v>258166500000</v>
      </c>
      <c r="C6" s="18">
        <v>220796300000</v>
      </c>
      <c r="D6" s="18">
        <v>193095700000</v>
      </c>
      <c r="E6" s="18">
        <v>155278600000</v>
      </c>
      <c r="F6" s="8" t="s">
        <v>85</v>
      </c>
    </row>
    <row r="7" spans="1:6" x14ac:dyDescent="0.25">
      <c r="A7" t="s">
        <v>86</v>
      </c>
      <c r="B7" s="18">
        <v>10089800000</v>
      </c>
      <c r="C7" s="18">
        <v>8809900000</v>
      </c>
      <c r="D7" s="18">
        <v>6833200000</v>
      </c>
      <c r="E7" s="18">
        <v>4853800000</v>
      </c>
      <c r="F7" s="8" t="s">
        <v>87</v>
      </c>
    </row>
    <row r="8" spans="1:6" x14ac:dyDescent="0.25">
      <c r="A8" t="s">
        <v>88</v>
      </c>
      <c r="B8" s="18">
        <v>9611000000</v>
      </c>
      <c r="C8" s="18">
        <v>10818200000</v>
      </c>
      <c r="D8" s="18">
        <v>10377800000</v>
      </c>
      <c r="E8" s="18">
        <v>8783200000</v>
      </c>
      <c r="F8" s="8" t="s">
        <v>89</v>
      </c>
    </row>
    <row r="9" spans="1:6" x14ac:dyDescent="0.25">
      <c r="A9" t="s">
        <v>90</v>
      </c>
      <c r="B9" s="18">
        <v>992598400000</v>
      </c>
      <c r="C9" s="18">
        <v>941700200000</v>
      </c>
      <c r="D9" s="18">
        <v>895316200000</v>
      </c>
      <c r="E9" s="18">
        <v>562262700000</v>
      </c>
      <c r="F9" s="8" t="s">
        <v>91</v>
      </c>
    </row>
    <row r="10" spans="1:6" x14ac:dyDescent="0.25">
      <c r="A10" t="s">
        <v>92</v>
      </c>
      <c r="B10" s="18">
        <v>3528467100000</v>
      </c>
      <c r="C10" s="18">
        <v>2753601500000</v>
      </c>
      <c r="D10" s="18">
        <v>2184371100000</v>
      </c>
      <c r="E10" s="18">
        <v>1644669400000</v>
      </c>
      <c r="F10" s="8" t="s">
        <v>93</v>
      </c>
    </row>
    <row r="11" spans="1:6" x14ac:dyDescent="0.25">
      <c r="A11" t="s">
        <v>94</v>
      </c>
      <c r="B11" s="18">
        <v>40161800000</v>
      </c>
      <c r="C11" s="18">
        <v>65414800000</v>
      </c>
      <c r="D11" s="18">
        <v>73683700000</v>
      </c>
      <c r="E11" s="18">
        <v>27332500000</v>
      </c>
      <c r="F11" s="8" t="s">
        <v>95</v>
      </c>
    </row>
    <row r="12" spans="1:6" x14ac:dyDescent="0.25">
      <c r="A12" t="s">
        <v>32</v>
      </c>
      <c r="B12" s="34">
        <v>6233970152</v>
      </c>
      <c r="C12" s="34">
        <v>6203492990</v>
      </c>
      <c r="D12" s="34">
        <v>6123830490</v>
      </c>
      <c r="E12" s="34">
        <v>6070447270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