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<sst xmlns="http://schemas.openxmlformats.org/spreadsheetml/2006/main" count="112" uniqueCount="100">
  <si>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Ball Corporation (BALL)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</si>
  <si>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</si>
  <si>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</si>
  <si>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</si>
  <si>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</si>
  <si>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</si>
  <si>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</si>
  <si>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</si>
  <si>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</si>
  <si>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</si>
  <si>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</si>
  <si>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</si>
  <si>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</si>
  <si>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</si>
  <si>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</si>
  <si>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</si>
  <si>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</si>
  <si>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</si>
  <si>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</si>
  <si>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</si>
  <si>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</si>
  <si>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</si>
  <si>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</si>
  <si>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</si>
  <si>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</si>
  <si>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</si>
  <si>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</si>
  <si>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</si>
  <si>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</si>
  <si>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</si>
  <si>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</si>
  <si>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</si>
  <si>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</si>
  <si>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</si>
  <si>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</si>
  <si>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</si>
  <si>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</si>
  <si>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</si>
  <si>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</si>
  <si>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</si>
  <si>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</si>
  <si>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</si>
  <si>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</si>
  <si>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</si>
  <si>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</si>
  <si>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</si>
  <si>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</si>
  <si>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</si>
  <si>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</si>
  <si>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</si>
  <si>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</si>
  <si>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</si>
  <si>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</si>
  <si>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</si>
  <si>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</si>
  <si>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</si>
  <si>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</si>
  <si>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</si>
  <si>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</si>
  <si>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</si>
  <si>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</si>
  <si>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</si>
  <si>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</si>
  <si>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</si>
  <si>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</si>
  <si>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</si>
  <si>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</si>
  <si>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</si>
  <si>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</si>
  <si>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</si>
  <si>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</si>
  <si>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</si>
  <si>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</si>
  <si>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</si>
  <si>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</si>
  <si>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</si>
  <si>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</si>
  <si>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</si>
  <si>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</si>
  <si>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</si>
  <si>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</si>
  <si>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</si>
  <si>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</si>
  <si>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</si>
  <si>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</si>
  <si>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</si>
  <si>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</si>
  <si>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</si>
  <si>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</si>
  <si>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</si>
  <si>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</si>
  <si>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</si>
  <si>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</si>
  <si>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</si>
  <si>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</si>
  <si>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</si>
  <si>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</si>
  <si>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</si>
  <si>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7.2% of revenue against depreciation of 5.2%.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</si>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</sst>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-0.005287656768822813</v>
      </c>
    </row>
    <row r="7" spans="1:2" x14ac:dyDescent="0.25">
      <c r="A7" t="s">
        <v>5</v>
      </c>
      <c r="B7" s="6">
        <v>0.0963324450040104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0.0517381447147586</v>
      </c>
    </row>
    <row r="10" spans="1:2" x14ac:dyDescent="0.25">
      <c r="A10" t="s">
        <v>8</v>
      </c>
      <c r="B10" s="6">
        <v>0.07178812456307582</v>
      </c>
    </row>
    <row r="11" spans="1:2" x14ac:dyDescent="0.25">
      <c r="A11" t="s">
        <v>9</v>
      </c>
      <c r="B11" s="6">
        <v>0.095900439238653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10.796176795228629</v>
      </c>
    </row>
    <row r="14" spans="1:3" x14ac:dyDescent="0.25">
      <c r="A14" t="s">
        <v>12</v>
      </c>
      <c r="B14" s="6">
        <v>0.08370120406219184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0.96717</v>
      </c>
      <c r="C19" s="8" t="s">
        <v>19</v>
      </c>
    </row>
    <row r="20" spans="1:2" x14ac:dyDescent="0.25">
      <c r="A20" t="s">
        <v>20</v>
      </c>
      <c r="B20" s="10">
        <f>B17+B19*B18</f>
        <v>0.10317435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15921907712</v>
      </c>
    </row>
    <row r="23" spans="1:2" x14ac:dyDescent="0.25">
      <c r="A23" t="s">
        <v>24</v>
      </c>
      <c r="B23" s="11">
        <v>7012000000</v>
      </c>
    </row>
    <row r="24" spans="1:2" x14ac:dyDescent="0.25">
      <c r="A24" t="s">
        <v>25</v>
      </c>
      <c r="B24" s="10">
        <f>B22/(B22+B23)</f>
        <v>0.694251843686847</v>
      </c>
    </row>
    <row r="25" spans="1:2" x14ac:dyDescent="0.25">
      <c r="A25" t="s">
        <v>26</v>
      </c>
      <c r="B25" s="10">
        <f>1-B24</f>
        <v>0.305748156313153</v>
      </c>
    </row>
    <row r="26" spans="1:2" x14ac:dyDescent="0.25">
      <c r="A26" t="s">
        <v>27</v>
      </c>
      <c r="B26" s="12">
        <f>B24*B20+B25*B21*(1-B8)</f>
        <v>0.08370120406219184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13161000000</v>
      </c>
      <c r="C29" s="8" t="s">
        <v>30</v>
      </c>
    </row>
    <row r="30" spans="1:2" x14ac:dyDescent="0.25">
      <c r="A30" t="s">
        <v>31</v>
      </c>
      <c r="B30" s="11">
        <v>5800000000</v>
      </c>
    </row>
    <row r="31" spans="1:2" x14ac:dyDescent="0.25">
      <c r="A31" t="s">
        <v>32</v>
      </c>
      <c r="B31" s="13">
        <v>275972000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-0.005287656768822813</v>
      </c>
      <c r="C5" s="10">
        <f>Assumptions!B6</f>
        <v>-0.005287656768822813</v>
      </c>
      <c r="D5" s="10">
        <f>Assumptions!B6</f>
        <v>-0.005287656768822813</v>
      </c>
      <c r="E5" s="10">
        <f>Assumptions!B6</f>
        <v>-0.005287656768822813</v>
      </c>
      <c r="F5" s="10">
        <f>Assumptions!B6</f>
        <v>-0.005287656768822813</v>
      </c>
    </row>
    <row r="6" spans="1:6" x14ac:dyDescent="0.25">
      <c r="A6" t="s">
        <v>43</v>
      </c>
      <c r="B6" s="18">
        <f>Assumptions!B29*(1+B5)</f>
        <v>13091409149.265524</v>
      </c>
      <c r="C6" s="18">
        <f>B6*(1+C5)</f>
        <v>13022186271.063982</v>
      </c>
      <c r="D6" s="18">
        <f>C6*(1+D5)</f>
        <v>12953329419.682919</v>
      </c>
      <c r="E6" s="18">
        <f>D6*(1+E5)</f>
        <v>12884836659.698141</v>
      </c>
      <c r="F6" s="18">
        <f>E6*(1+F5)</f>
        <v>12816706065.919312</v>
      </c>
    </row>
    <row r="7" spans="1:6" x14ac:dyDescent="0.25">
      <c r="A7" t="s">
        <v>5</v>
      </c>
      <c r="B7" s="10">
        <f>Assumptions!B7</f>
        <v>0.0963324450040104</v>
      </c>
      <c r="C7" s="10">
        <f>Assumptions!B7</f>
        <v>0.0963324450040104</v>
      </c>
      <c r="D7" s="10">
        <f>Assumptions!B7</f>
        <v>0.0963324450040104</v>
      </c>
      <c r="E7" s="10">
        <f>Assumptions!B7</f>
        <v>0.0963324450040104</v>
      </c>
      <c r="F7" s="10">
        <f>Assumptions!B7</f>
        <v>0.0963324450040104</v>
      </c>
    </row>
    <row r="8" spans="1:6" x14ac:dyDescent="0.25">
      <c r="A8" t="s">
        <v>44</v>
      </c>
      <c r="B8" s="18">
        <f>B6*B7</f>
        <v>1261127451.8966198</v>
      </c>
      <c r="C8" s="18">
        <f>C6*C7</f>
        <v>1254459042.7892504</v>
      </c>
      <c r="D8" s="18">
        <f>D6*D7</f>
        <v>1247825893.9404347</v>
      </c>
      <c r="E8" s="18">
        <f>E6*E7</f>
        <v>1241227818.9060283</v>
      </c>
      <c r="F8" s="18">
        <f>F6*F7</f>
        <v>1234664632.2277386</v>
      </c>
    </row>
    <row r="9" spans="1:6" x14ac:dyDescent="0.25">
      <c r="A9" t="s">
        <v>45</v>
      </c>
      <c r="B9" s="18">
        <f>B8*(1-Assumptions!B8)</f>
        <v>996290686.9983296</v>
      </c>
      <c r="C9" s="18">
        <f>C8*(1-Assumptions!B8)</f>
        <v>991022643.8035078</v>
      </c>
      <c r="D9" s="18">
        <f>D8*(1-Assumptions!B8)</f>
        <v>985782456.2129434</v>
      </c>
      <c r="E9" s="18">
        <f>E8*(1-Assumptions!B8)</f>
        <v>980569976.9357624</v>
      </c>
      <c r="F9" s="18">
        <f>F8*(1-Assumptions!B8)</f>
        <v>975385059.4599136</v>
      </c>
    </row>
    <row r="10" spans="1:6" x14ac:dyDescent="0.25">
      <c r="A10" t="s">
        <v>46</v>
      </c>
      <c r="B10" s="18">
        <f>B6*Assumptions!B9</f>
        <v>677325221.0848144</v>
      </c>
      <c r="C10" s="18">
        <f>C6*Assumptions!B9</f>
        <v>673743757.794851</v>
      </c>
      <c r="D10" s="18">
        <f>D6*Assumptions!B9</f>
        <v>670181232.0534948</v>
      </c>
      <c r="E10" s="18">
        <f>E6*Assumptions!B9</f>
        <v>666637543.7254893</v>
      </c>
      <c r="F10" s="18">
        <f>F6*Assumptions!B9</f>
        <v>663112593.2050577</v>
      </c>
    </row>
    <row r="11" spans="1:6" x14ac:dyDescent="0.25">
      <c r="A11" t="s">
        <v>47</v>
      </c>
      <c r="B11" s="18">
        <f>-B6*Assumptions!B10</f>
        <v>-939807710.7136638</v>
      </c>
      <c r="C11" s="18">
        <f>-C6*Assumptions!B10</f>
        <v>-934838330.1107169</v>
      </c>
      <c r="D11" s="18">
        <f>-D6*Assumptions!B10</f>
        <v>-929895225.8867519</v>
      </c>
      <c r="E11" s="18">
        <f>-E6*Assumptions!B10</f>
        <v>-924978259.1012958</v>
      </c>
      <c r="F11" s="18">
        <f>-F6*Assumptions!B10</f>
        <v>-920087291.548545</v>
      </c>
    </row>
    <row r="12" spans="1:6" x14ac:dyDescent="0.25">
      <c r="A12" t="s">
        <v>48</v>
      </c>
      <c r="B12" s="18">
        <f>-(B6-Assumptions!B29)*Assumptions!B11</f>
        <v>6673793.152427795</v>
      </c>
      <c r="C12" s="18">
        <f>-(C6-B6)*Assumptions!B11</f>
        <v>6638504.424891647</v>
      </c>
      <c r="D12" s="18">
        <f>-(D6-C6)*Assumptions!B11</f>
        <v>6603402.292034636</v>
      </c>
      <c r="E12" s="18">
        <f>-(E6-D6)*Assumptions!B11</f>
        <v>6568485.767207794</v>
      </c>
      <c r="F12" s="18">
        <f>-(F6-E6)*Assumptions!B11</f>
        <v>6533753.868979996</v>
      </c>
    </row>
    <row r="13" spans="1:6" x14ac:dyDescent="0.25">
      <c r="A13" s="19" t="s">
        <v>49</v>
      </c>
      <c r="B13" s="20">
        <f>B9+B10+B11+B12</f>
        <v>740481990.5219082</v>
      </c>
      <c r="C13" s="20">
        <f>C9+C10+C11+C12</f>
        <v>736566575.9125333</v>
      </c>
      <c r="D13" s="20">
        <f>D9+D10+D11+D12</f>
        <v>732671864.671721</v>
      </c>
      <c r="E13" s="20">
        <f>E9+E10+E11+E12</f>
        <v>728797747.3271635</v>
      </c>
      <c r="F13" s="20">
        <f>F9+F10+F11+F12</f>
        <v>724944114.9854064</v>
      </c>
    </row>
    <row r="14" spans="1:6" x14ac:dyDescent="0.25">
      <c r="A14" t="s">
        <v>50</v>
      </c>
      <c r="B14" s="21">
        <f>1/(1+Assumptions!$B$26)^(1-0.5*Assumptions!$B$32)</f>
        <v>0.9606058387802091</v>
      </c>
      <c r="C14" s="21">
        <f>1/(1+Assumptions!$B$26)^(2-0.5*Assumptions!$B$32)</f>
        <v>0.886412080358897</v>
      </c>
      <c r="D14" s="21">
        <f>1/(1+Assumptions!$B$26)^(3-0.5*Assumptions!$B$32)</f>
        <v>0.8179487824099783</v>
      </c>
      <c r="E14" s="21">
        <f>1/(1+Assumptions!$B$26)^(4-0.5*Assumptions!$B$32)</f>
        <v>0.7547733446672791</v>
      </c>
      <c r="F14" s="21">
        <f>1/(1+Assumptions!$B$26)^(5-0.5*Assumptions!$B$32)</f>
        <v>0.6964773517257843</v>
      </c>
    </row>
    <row r="15" spans="1:6" x14ac:dyDescent="0.25">
      <c r="A15" s="19" t="s">
        <v>51</v>
      </c>
      <c r="B15" s="20">
        <f>B13*B14</f>
        <v>711311323.6069365</v>
      </c>
      <c r="C15" s="20">
        <f>C13*C14</f>
        <v>652901510.877458</v>
      </c>
      <c r="D15" s="20">
        <f>D13*D14</f>
        <v>599288059.6142825</v>
      </c>
      <c r="E15" s="20">
        <f>E13*E14</f>
        <v>550077113.3361018</v>
      </c>
      <c r="F15" s="20">
        <f>F13*F14</f>
        <v>504907157.3542283</v>
      </c>
    </row>
    <row r="17" spans="1:2" x14ac:dyDescent="0.25">
      <c r="A17" s="22" t="s">
        <v>52</v>
      </c>
      <c r="B17" s="23">
        <f>SUM(B15:F15)</f>
        <v>3018485164.7890077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724944114.9854064</v>
      </c>
    </row>
    <row r="5" spans="1:2" x14ac:dyDescent="0.25">
      <c r="A5" t="s">
        <v>56</v>
      </c>
      <c r="B5" s="18">
        <f>IF(Assumptions!$B$33=0,B4,B4-Forecast!F11-Forecast!F10-Forecast!F12)</f>
        <v>1085685966.5361733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0.2986814858890734</v>
      </c>
    </row>
    <row r="7" spans="1:2" x14ac:dyDescent="0.25">
      <c r="A7" t="s">
        <v>58</v>
      </c>
      <c r="B7" s="18">
        <f>-MAX(Forecast!F9,0)*B6</f>
        <v>-324274297.6939391</v>
      </c>
    </row>
    <row r="8" spans="1:2" x14ac:dyDescent="0.25">
      <c r="A8" t="s">
        <v>59</v>
      </c>
      <c r="B8" s="18">
        <f>IF(OR(Assumptions!$B$33=0,Assumptions!B12&lt;=0),B5,MAX(B5+B7,0))</f>
        <v>761411668.8422343</v>
      </c>
    </row>
    <row r="9" spans="1:2" x14ac:dyDescent="0.25">
      <c r="A9" t="s">
        <v>60</v>
      </c>
      <c r="B9" s="18">
        <f>B8*(1+Assumptions!B12)/(Assumptions!B26-Assumptions!B12)</f>
        <v>13295246205.451498</v>
      </c>
    </row>
    <row r="10" spans="1:2" x14ac:dyDescent="0.25">
      <c r="A10" t="s">
        <v>61</v>
      </c>
      <c r="B10" s="18">
        <f>B9/(1+Assumptions!B26)^(5-0.5*Assumptions!B32)</f>
        <v>9259837867.715141</v>
      </c>
    </row>
    <row r="11" spans="1:2" x14ac:dyDescent="0.25">
      <c r="A11" t="s">
        <v>62</v>
      </c>
      <c r="B11" s="18">
        <f>Forecast!B17+B10</f>
        <v>12278323032.504148</v>
      </c>
    </row>
    <row r="12" spans="1:2" x14ac:dyDescent="0.25">
      <c r="A12" t="s">
        <v>63</v>
      </c>
      <c r="B12" s="18">
        <f>-Assumptions!B30</f>
        <v>-5800000000</v>
      </c>
    </row>
    <row r="13" spans="1:2" x14ac:dyDescent="0.25">
      <c r="A13" t="s">
        <v>64</v>
      </c>
      <c r="B13" s="18">
        <f>B11+B12</f>
        <v>6478323032.5041485</v>
      </c>
    </row>
    <row r="14" spans="1:2" x14ac:dyDescent="0.25">
      <c r="A14" s="19" t="s">
        <v>65</v>
      </c>
      <c r="B14" s="24">
        <f>B13/Assumptions!B31</f>
        <v>23.474566378125854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1897777225.4327965</v>
      </c>
    </row>
    <row r="18" spans="1:2" x14ac:dyDescent="0.25">
      <c r="A18" t="s">
        <v>60</v>
      </c>
      <c r="B18" s="18">
        <f>B17*Assumptions!B13</f>
        <v>20488738443.730927</v>
      </c>
    </row>
    <row r="19" spans="1:2" x14ac:dyDescent="0.25">
      <c r="A19" t="s">
        <v>61</v>
      </c>
      <c r="B19" s="18">
        <f>B18/(1+Assumptions!B26)^(5-0.5*Assumptions!B32)</f>
        <v>14269942291.491983</v>
      </c>
    </row>
    <row r="20" spans="1:2" x14ac:dyDescent="0.25">
      <c r="A20" t="s">
        <v>62</v>
      </c>
      <c r="B20" s="18">
        <f>Forecast!B17+B19</f>
        <v>17288427456.28099</v>
      </c>
    </row>
    <row r="21" spans="1:2" x14ac:dyDescent="0.25">
      <c r="A21" t="s">
        <v>63</v>
      </c>
      <c r="B21" s="18">
        <f>-Assumptions!B30</f>
        <v>-5800000000</v>
      </c>
    </row>
    <row r="22" spans="1:2" x14ac:dyDescent="0.25">
      <c r="A22" t="s">
        <v>64</v>
      </c>
      <c r="B22" s="18">
        <f>B20+B21</f>
        <v>11488427456.28099</v>
      </c>
    </row>
    <row r="23" spans="1:2" x14ac:dyDescent="0.25">
      <c r="A23" s="19" t="s">
        <v>65</v>
      </c>
      <c r="B23" s="25">
        <f>B22/Assumptions!B31</f>
        <v>41.62896038830385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60.15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23.474566378125854</v>
      </c>
    </row>
    <row r="29" spans="1:2" x14ac:dyDescent="0.25">
      <c r="A29" s="19" t="s">
        <v>73</v>
      </c>
      <c r="B29" s="12">
        <f>B28/B26-1</f>
        <v>-0.6097328947942502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0.063701</v>
      </c>
      <c r="B5" s="31">
        <v>40.57909813156382</v>
      </c>
      <c r="C5" s="31">
        <v>42.14140784491554</v>
      </c>
      <c r="D5" s="31">
        <v>44.058105933925866</v>
      </c>
      <c r="E5" s="31">
        <v>46.48692735111495</v>
      </c>
      <c r="F5" s="31">
        <v>49.69552304671726</v>
      </c>
    </row>
    <row r="6" spans="1:6" x14ac:dyDescent="0.25">
      <c r="A6" s="30">
        <v>0.073701</v>
      </c>
      <c r="B6" s="31">
        <v>30.067067535681083</v>
      </c>
      <c r="C6" s="31">
        <v>30.52308415986228</v>
      </c>
      <c r="D6" s="31">
        <v>31.035176083415646</v>
      </c>
      <c r="E6" s="31">
        <v>31.622590680327686</v>
      </c>
      <c r="F6" s="31">
        <v>32.31452203086454</v>
      </c>
    </row>
    <row r="7" spans="1:6" x14ac:dyDescent="0.25">
      <c r="A7" s="30">
        <v>0.083701</v>
      </c>
      <c r="B7" s="31">
        <v>23.147328713503846</v>
      </c>
      <c r="C7" s="31">
        <v>23.31100506189093</v>
      </c>
      <c r="D7" s="32">
        <v>23.474681410278006</v>
      </c>
      <c r="E7" s="31">
        <v>23.638357758665098</v>
      </c>
      <c r="F7" s="31">
        <v>23.802034107052165</v>
      </c>
    </row>
    <row r="8" spans="1:6" x14ac:dyDescent="0.25">
      <c r="A8" s="30">
        <v>0.093701</v>
      </c>
      <c r="B8" s="31">
        <v>18.168917828544117</v>
      </c>
      <c r="C8" s="31">
        <v>18.309206060014898</v>
      </c>
      <c r="D8" s="31">
        <v>18.449494291485667</v>
      </c>
      <c r="E8" s="31">
        <v>18.589782522956448</v>
      </c>
      <c r="F8" s="31">
        <v>18.730070754427228</v>
      </c>
    </row>
    <row r="9" spans="1:6" x14ac:dyDescent="0.25">
      <c r="A9" s="30">
        <v>0.103701</v>
      </c>
      <c r="B9" s="31">
        <v>14.168056663974927</v>
      </c>
      <c r="C9" s="31">
        <v>14.289729827810577</v>
      </c>
      <c r="D9" s="31">
        <v>14.411402991646222</v>
      </c>
      <c r="E9" s="31">
        <v>14.533076155481867</v>
      </c>
      <c r="F9" s="31">
        <v>14.65474931931751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13161000000</v>
      </c>
      <c r="C5" s="18">
        <v>11795000000</v>
      </c>
      <c r="D5" s="18">
        <v>12062000000</v>
      </c>
      <c r="E5" s="18">
        <v>13372000000</v>
      </c>
      <c r="F5" s="8" t="s">
        <v>84</v>
      </c>
    </row>
    <row r="6" spans="1:6" x14ac:dyDescent="0.25">
      <c r="A6" t="s">
        <v>44</v>
      </c>
      <c r="B6" s="18">
        <v>1390000000</v>
      </c>
      <c r="C6" s="18">
        <v>1183000000</v>
      </c>
      <c r="D6" s="18">
        <v>1171000000</v>
      </c>
      <c r="E6" s="18">
        <v>1101000000</v>
      </c>
      <c r="F6" s="8" t="s">
        <v>85</v>
      </c>
    </row>
    <row r="7" spans="1:6" x14ac:dyDescent="0.25">
      <c r="A7" t="s">
        <v>86</v>
      </c>
      <c r="B7" s="18">
        <v>622000000</v>
      </c>
      <c r="C7" s="18">
        <v>620000000</v>
      </c>
      <c r="D7" s="18">
        <v>686000000</v>
      </c>
      <c r="E7" s="18">
        <v>672000000</v>
      </c>
      <c r="F7" s="8" t="s">
        <v>87</v>
      </c>
    </row>
    <row r="8" spans="1:6" x14ac:dyDescent="0.25">
      <c r="A8" t="s">
        <v>88</v>
      </c>
      <c r="B8" s="18">
        <v>474000000</v>
      </c>
      <c r="C8" s="18">
        <v>484000000</v>
      </c>
      <c r="D8" s="18">
        <v>1045000000</v>
      </c>
      <c r="E8" s="18">
        <v>1651000000</v>
      </c>
      <c r="F8" s="8" t="s">
        <v>89</v>
      </c>
    </row>
    <row r="9" spans="1:6" x14ac:dyDescent="0.25">
      <c r="A9" t="s">
        <v>90</v>
      </c>
      <c r="B9" s="18">
        <v>131000000</v>
      </c>
      <c r="C9" s="18">
        <v>551000000</v>
      </c>
      <c r="D9" s="18">
        <v>-360000000</v>
      </c>
      <c r="E9" s="18">
        <v>924000000</v>
      </c>
      <c r="F9" s="8" t="s">
        <v>91</v>
      </c>
    </row>
    <row r="10" spans="1:6" x14ac:dyDescent="0.25">
      <c r="A10" t="s">
        <v>92</v>
      </c>
      <c r="B10" s="18">
        <v>7012000000</v>
      </c>
      <c r="C10" s="18">
        <v>5673000000</v>
      </c>
      <c r="D10" s="18">
        <v>8569000000</v>
      </c>
      <c r="E10" s="18">
        <v>8948000000</v>
      </c>
      <c r="F10" s="8" t="s">
        <v>93</v>
      </c>
    </row>
    <row r="11" spans="1:6" x14ac:dyDescent="0.25">
      <c r="A11" t="s">
        <v>94</v>
      </c>
      <c r="B11" s="18">
        <v>1212000000</v>
      </c>
      <c r="C11" s="18">
        <v>885000000</v>
      </c>
      <c r="D11" s="18">
        <v>695000000</v>
      </c>
      <c r="E11" s="18">
        <v>548000000</v>
      </c>
      <c r="F11" s="8" t="s">
        <v>95</v>
      </c>
    </row>
    <row r="12" spans="1:6" x14ac:dyDescent="0.25">
      <c r="A12" t="s">
        <v>32</v>
      </c>
      <c r="B12" s="34">
        <v>275972000</v>
      </c>
      <c r="C12" s="34">
        <v>308206000</v>
      </c>
      <c r="D12" s="34">
        <v>317022000</v>
      </c>
      <c r="E12" s="34">
        <v>320008000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2026-09-19T01:03:28Z</dcterms:modified>
</cp:coreProperties>
</file>