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<sst xmlns="http://schemas.openxmlformats.org/spreadsheetml/2006/main" count="120" uniqueCount="107">
  <si>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Ball Corporation (BALL)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</si>
  <si>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</si>
  <si>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</si>
  <si>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</si>
  <si>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</si>
  <si>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</si>
  <si>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</si>
  <si>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</si>
  <si>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</si>
  <si>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</si>
  <si>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</si>
  <si>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</si>
  <si>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</si>
  <si>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</si>
  <si>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</si>
  <si>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</si>
  <si>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</si>
  <si>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</si>
  <si>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</si>
  <si>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</si>
  <si>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</si>
  <si>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</si>
  <si>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</si>
  <si>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</si>
  <si>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4.4x interest cover. Book interest / average debt was lower, at 5.0%.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</si>
  <si>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</si>
  <si>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</si>
  <si>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</si>
  <si>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</si>
  <si>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</si>
  <si>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</si>
  <si>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</si>
  <si>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</si>
  <si>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</si>
  <si>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</si>
  <si>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</si>
  <si>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</si>
  <si>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</si>
  <si>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</si>
  <si>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</si>
  <si>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</si>
  <si>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</si>
  <si>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</si>
  <si>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</si>
  <si>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</si>
  <si>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</si>
  <si>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</si>
  <si>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</si>
  <si>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</si>
  <si>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</si>
  <si>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</si>
  <si>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</si>
  <si>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</si>
  <si>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</si>
  <si>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</si>
  <si>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</si>
  <si>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</si>
  <si>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</si>
  <si>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</si>
  <si>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</si>
  <si>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</si>
  <si>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</si>
  <si>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</si>
  <si>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</si>
  <si>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</si>
  <si>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</si>
  <si>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</si>
  <si>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</si>
  <si>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</si>
  <si>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</si>
  <si>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</si>
  <si>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</si>
  <si>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</si>
  <si>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</si>
  <si>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</si>
  <si>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</si>
  <si>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</si>
  <si>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</si>
  <si>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</si>
  <si>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</si>
  <si>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</si>
  <si>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</si>
  <si>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</si>
  <si>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</si>
  <si>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</si>
  <si>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</si>
  <si>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</si>
  <si>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</si>
  <si>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</si>
  <si>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</si>
  <si>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</si>
  <si>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</si>
  <si>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</si>
  <si>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</si>
  <si>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</si>
  <si>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</si>
  <si>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</si>
  <si>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</si>
  <si>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</si>
  <si>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</si>
  <si>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</si>
  <si>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</si>
  <si>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</si>
  <si>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</si>
  <si>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</si>
  <si>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7.2% of revenue against depreciation of 5.2%.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</si>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</sst>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0.13495118076134038</v>
      </c>
    </row>
    <row r="7" spans="1:2" x14ac:dyDescent="0.25">
      <c r="A7" t="s">
        <v>4</v>
      </c>
      <c r="B7" s="5">
        <v>0.0963324450040104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0.0517381447147586</v>
      </c>
    </row>
    <row r="10" spans="1:3" x14ac:dyDescent="0.25">
      <c r="A10" t="s">
        <v>7</v>
      </c>
      <c r="B10" s="5">
        <v>0.07178812456307582</v>
      </c>
      <c r="C10" s="6" t="s">
        <v>8</v>
      </c>
    </row>
    <row r="11" spans="1:2" x14ac:dyDescent="0.25">
      <c r="A11" t="s">
        <v>9</v>
      </c>
      <c r="B11" s="5">
        <v>-0.07016516417411162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11.838149725646124</v>
      </c>
    </row>
    <row r="14" spans="1:3" x14ac:dyDescent="0.25">
      <c r="A14" t="s">
        <v>12</v>
      </c>
      <c r="B14" s="5">
        <v>0.07808411204325776</v>
      </c>
      <c r="C14" s="6" t="s">
        <v>13</v>
      </c>
    </row>
    <row r="15" spans="1:3" x14ac:dyDescent="0.25">
      <c r="A15" t="s">
        <v>14</v>
      </c>
      <c r="B15" s="5">
        <v>0.04084444077520903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0.9664999999999999</v>
      </c>
      <c r="C19" s="6" t="s">
        <v>21</v>
      </c>
    </row>
    <row r="20" spans="1:2" x14ac:dyDescent="0.25">
      <c r="A20" t="s">
        <v>22</v>
      </c>
      <c r="B20" s="9">
        <f>B17+B19*B18</f>
        <v>0.08982295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18018357248</v>
      </c>
    </row>
    <row r="23" spans="1:2" x14ac:dyDescent="0.25">
      <c r="A23" t="s">
        <v>26</v>
      </c>
      <c r="B23" s="10">
        <v>7012000000</v>
      </c>
    </row>
    <row r="24" spans="1:2" x14ac:dyDescent="0.25">
      <c r="A24" t="s">
        <v>27</v>
      </c>
      <c r="B24" s="9">
        <f>B22/(B22+B23)</f>
        <v>0.719860170970581</v>
      </c>
    </row>
    <row r="25" spans="1:2" x14ac:dyDescent="0.25">
      <c r="A25" t="s">
        <v>28</v>
      </c>
      <c r="B25" s="9">
        <f>1-B24</f>
        <v>0.28013982902941903</v>
      </c>
    </row>
    <row r="26" spans="1:2" x14ac:dyDescent="0.25">
      <c r="A26" t="s">
        <v>29</v>
      </c>
      <c r="B26" s="11">
        <f>B24*B20+B25*B21*(1-B8)</f>
        <v>0.07721711992439403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13161000000</v>
      </c>
      <c r="C29" s="6" t="s">
        <v>32</v>
      </c>
    </row>
    <row r="30" spans="1:2" x14ac:dyDescent="0.25">
      <c r="A30" t="s">
        <v>33</v>
      </c>
      <c r="B30" s="10">
        <v>5800000000</v>
      </c>
    </row>
    <row r="31" spans="1:2" x14ac:dyDescent="0.25">
      <c r="A31" t="s">
        <v>34</v>
      </c>
      <c r="B31" s="12">
        <v>275972000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0.13495118076134038</v>
      </c>
      <c r="C5" s="5">
        <v>0.044587475135865695</v>
      </c>
      <c r="D5" s="5">
        <v>0.042139040743882486</v>
      </c>
      <c r="E5" s="5">
        <v>0.03969060635189927</v>
      </c>
      <c r="F5" s="5">
        <v>0.03724217195991606</v>
      </c>
      <c r="G5" s="5">
        <v>0.034793737567932845</v>
      </c>
      <c r="H5" s="5">
        <v>0.032345303175949636</v>
      </c>
      <c r="I5" s="5">
        <v>0.029896868783966427</v>
      </c>
      <c r="J5" s="5">
        <v>0.027448434391983214</v>
      </c>
      <c r="K5" s="5">
        <v>0.025</v>
      </c>
    </row>
    <row r="6" spans="1:11" x14ac:dyDescent="0.25">
      <c r="A6" t="s">
        <v>50</v>
      </c>
      <c r="B6" s="18">
        <f>Assumptions!B29*(1+B5)</f>
        <v>14937092490</v>
      </c>
      <c r="C6" s="18">
        <f>B6*(1+C5)</f>
        <v>15603099730.000002</v>
      </c>
      <c r="D6" s="18">
        <f>C6*(1+D5)</f>
        <v>16260599385.253332</v>
      </c>
      <c r="E6" s="18">
        <f>D6*(1+E5)</f>
        <v>16905992434.49936</v>
      </c>
      <c r="F6" s="18">
        <f>E6*(1+F5)</f>
        <v>17535608311.898026</v>
      </c>
      <c r="G6" s="18">
        <f>F6*(1+G5)</f>
        <v>18145737665.596268</v>
      </c>
      <c r="H6" s="18">
        <f>G6*(1+H5)</f>
        <v>18732667051.741226</v>
      </c>
      <c r="I6" s="18">
        <f>H6*(1+I5)</f>
        <v>19292715140.560867</v>
      </c>
      <c r="J6" s="18">
        <f>I6*(1+J5)</f>
        <v>19822269966.33977</v>
      </c>
      <c r="K6" s="18">
        <f>J6*(1+K5)</f>
        <v>20317826715.498264</v>
      </c>
    </row>
    <row r="7" spans="1:11" x14ac:dyDescent="0.25">
      <c r="A7" t="s">
        <v>4</v>
      </c>
      <c r="B7" s="9">
        <f>Assumptions!B7</f>
        <v>0.0963324450040104</v>
      </c>
      <c r="C7" s="9">
        <f>Assumptions!B7</f>
        <v>0.0963324450040104</v>
      </c>
      <c r="D7" s="9">
        <f>Assumptions!B7</f>
        <v>0.0963324450040104</v>
      </c>
      <c r="E7" s="9">
        <f>Assumptions!B7</f>
        <v>0.0963324450040104</v>
      </c>
      <c r="F7" s="9">
        <f>Assumptions!B7</f>
        <v>0.0963324450040104</v>
      </c>
      <c r="G7" s="9">
        <f>Assumptions!B7</f>
        <v>0.0963324450040104</v>
      </c>
      <c r="H7" s="9">
        <f>Assumptions!B7</f>
        <v>0.0963324450040104</v>
      </c>
      <c r="I7" s="9">
        <f>Assumptions!B7</f>
        <v>0.0963324450040104</v>
      </c>
      <c r="J7" s="9">
        <f>Assumptions!B7</f>
        <v>0.0963324450040104</v>
      </c>
      <c r="K7" s="9">
        <f>Assumptions!B7</f>
        <v>0.0963324450040104</v>
      </c>
    </row>
    <row r="8" spans="1:11" x14ac:dyDescent="0.25">
      <c r="A8" t="s">
        <v>51</v>
      </c>
      <c r="B8" s="18">
        <f>B6*B7</f>
        <v>1438926640.8127418</v>
      </c>
      <c r="C8" s="18">
        <f>C6*C7</f>
        <v>1503084746.6323147</v>
      </c>
      <c r="D8" s="18">
        <f>D6*D7</f>
        <v>1566423296.012162</v>
      </c>
      <c r="E8" s="18">
        <f>E6*E7</f>
        <v>1628595586.4346254</v>
      </c>
      <c r="F8" s="18">
        <f>F6*F7</f>
        <v>1689248023.3177843</v>
      </c>
      <c r="G8" s="18">
        <f>G6*G7</f>
        <v>1748023275.7282526</v>
      </c>
      <c r="H8" s="18">
        <f>H6*H7</f>
        <v>1804563618.5402994</v>
      </c>
      <c r="I8" s="18">
        <f>I6*I7</f>
        <v>1858514420.2561185</v>
      </c>
      <c r="J8" s="18">
        <f>J6*J7</f>
        <v>1909527731.3870733</v>
      </c>
      <c r="K8" s="18">
        <f>K6*K7</f>
        <v>1957265924.6717498</v>
      </c>
    </row>
    <row r="9" spans="1:11" x14ac:dyDescent="0.25">
      <c r="A9" t="s">
        <v>52</v>
      </c>
      <c r="B9" s="18">
        <f>B8*(1-Assumptions!B8)</f>
        <v>1136752046.2420661</v>
      </c>
      <c r="C9" s="18">
        <f>C8*(1-Assumptions!B8)</f>
        <v>1187436949.8395286</v>
      </c>
      <c r="D9" s="18">
        <f>D8*(1-Assumptions!B8)</f>
        <v>1237474403.849608</v>
      </c>
      <c r="E9" s="18">
        <f>E8*(1-Assumptions!B8)</f>
        <v>1286590513.283354</v>
      </c>
      <c r="F9" s="18">
        <f>F8*(1-Assumptions!B8)</f>
        <v>1334505938.4210496</v>
      </c>
      <c r="G9" s="18">
        <f>G8*(1-Assumptions!B8)</f>
        <v>1380938387.8253198</v>
      </c>
      <c r="H9" s="18">
        <f>H8*(1-Assumptions!B8)</f>
        <v>1425605258.6468365</v>
      </c>
      <c r="I9" s="18">
        <f>I8*(1-Assumptions!B8)</f>
        <v>1468226392.0023336</v>
      </c>
      <c r="J9" s="18">
        <f>J8*(1-Assumptions!B8)</f>
        <v>1508526907.795788</v>
      </c>
      <c r="K9" s="18">
        <f>K8*(1-Assumptions!B8)</f>
        <v>1546240080.4906824</v>
      </c>
    </row>
    <row r="10" spans="1:11" x14ac:dyDescent="0.25">
      <c r="A10" t="s">
        <v>53</v>
      </c>
      <c r="B10" s="18">
        <f>B6*Assumptions!B9</f>
        <v>772817452.8653538</v>
      </c>
      <c r="C10" s="18">
        <f>C6*Assumptions!B9</f>
        <v>807275431.829551</v>
      </c>
      <c r="D10" s="18">
        <f>D6*Assumptions!B9</f>
        <v>841293244.1429516</v>
      </c>
      <c r="E10" s="18">
        <f>E6*Assumptions!B9</f>
        <v>874684683.1227419</v>
      </c>
      <c r="F10" s="18">
        <f>F6*Assumptions!B9</f>
        <v>907259840.5023038</v>
      </c>
      <c r="G10" s="18">
        <f>G6*Assumptions!B9</f>
        <v>938826801.2986655</v>
      </c>
      <c r="H10" s="18">
        <f>H6*Assumptions!B9</f>
        <v>969193438.8163779</v>
      </c>
      <c r="I10" s="18">
        <f>I6*Assumptions!B9</f>
        <v>998169287.8829525</v>
      </c>
      <c r="J10" s="18">
        <f>J6*Assumptions!B9</f>
        <v>1025567472.0935001</v>
      </c>
      <c r="K10" s="18">
        <f>K6*Assumptions!B9</f>
        <v>1051206658.8958375</v>
      </c>
    </row>
    <row r="11" spans="1:11" x14ac:dyDescent="0.25">
      <c r="A11" t="s">
        <v>54</v>
      </c>
      <c r="B11" s="18">
        <f>-B6*B19</f>
        <v>-1072305856.2823043</v>
      </c>
      <c r="C11" s="18">
        <f>-C6*C19</f>
        <v>-1113489903.8638818</v>
      </c>
      <c r="D11" s="18">
        <f>-D6*D19</f>
        <v>-1153504666.442567</v>
      </c>
      <c r="E11" s="18">
        <f>-E6*E19</f>
        <v>-1192107203.7499983</v>
      </c>
      <c r="F11" s="18">
        <f>-F6*F19</f>
        <v>-1229055675.7076662</v>
      </c>
      <c r="G11" s="18">
        <f>-G6*G19</f>
        <v>-1264111776.4740913</v>
      </c>
      <c r="H11" s="18">
        <f>-H6*H19</f>
        <v>-1297043219.0171156</v>
      </c>
      <c r="I11" s="18">
        <f>-I6*I19</f>
        <v>-1327626235.321984</v>
      </c>
      <c r="J11" s="18">
        <f>-J6*J19</f>
        <v>-1355648055.7211208</v>
      </c>
      <c r="K11" s="18">
        <f>-K6*K19</f>
        <v>-1380909329.8655198</v>
      </c>
    </row>
    <row r="12" spans="1:11" x14ac:dyDescent="0.25">
      <c r="A12" t="s">
        <v>55</v>
      </c>
      <c r="B12" s="18">
        <f>-(B6-Assumptions!B29)*Assumptions!B11</f>
        <v>124619821.14925669</v>
      </c>
      <c r="C12" s="18">
        <f>-(C6-B6)*Assumptions!B11</f>
        <v>46730507.33574709</v>
      </c>
      <c r="D12" s="18">
        <f>-(D6-C6)*Assumptions!B11</f>
        <v>46133571.2552717</v>
      </c>
      <c r="E12" s="18">
        <f>-(E6-D6)*Assumptions!B11</f>
        <v>45284109.257177986</v>
      </c>
      <c r="F12" s="18">
        <f>-(F6-E6)*Assumptions!B11</f>
        <v>44177101.40430476</v>
      </c>
      <c r="G12" s="18">
        <f>-(G6-F6)*Assumptions!B11</f>
        <v>42809826.269681774</v>
      </c>
      <c r="H12" s="18">
        <f>-(H6-G6)*Assumptions!B11</f>
        <v>41181996.737471566</v>
      </c>
      <c r="I12" s="18">
        <f>-(I6-H6)*Assumptions!B11</f>
        <v>39295866.09742756</v>
      </c>
      <c r="J12" s="18">
        <f>-(J6-I6)*Assumptions!B11</f>
        <v>37156301.28996987</v>
      </c>
      <c r="K12" s="18">
        <f>-(K6-J6)*Assumptions!B11</f>
        <v>34770820.662294716</v>
      </c>
    </row>
    <row r="13" spans="1:11" x14ac:dyDescent="0.25">
      <c r="A13" s="19" t="s">
        <v>56</v>
      </c>
      <c r="B13" s="20">
        <f>B9+B10+B11+B12</f>
        <v>961883463.9743724</v>
      </c>
      <c r="C13" s="20">
        <f>C9+C10+C11+C12</f>
        <v>927952985.1409448</v>
      </c>
      <c r="D13" s="20">
        <f>D9+D10+D11+D12</f>
        <v>971396552.805264</v>
      </c>
      <c r="E13" s="20">
        <f>E9+E10+E11+E12</f>
        <v>1014452101.9132756</v>
      </c>
      <c r="F13" s="20">
        <f>F9+F10+F11+F12</f>
        <v>1056887204.6199918</v>
      </c>
      <c r="G13" s="20">
        <f>G9+G10+G11+G12</f>
        <v>1098463238.9195757</v>
      </c>
      <c r="H13" s="20">
        <f>H9+H10+H11+H12</f>
        <v>1138937475.1835704</v>
      </c>
      <c r="I13" s="20">
        <f>I9+I10+I11+I12</f>
        <v>1178065310.66073</v>
      </c>
      <c r="J13" s="20">
        <f>J9+J10+J11+J12</f>
        <v>1215602625.458137</v>
      </c>
      <c r="K13" s="20">
        <f>K9+K10+K11+K12</f>
        <v>1251308230.1832948</v>
      </c>
    </row>
    <row r="14" spans="1:11" x14ac:dyDescent="0.25">
      <c r="A14" t="s">
        <v>57</v>
      </c>
      <c r="B14" s="21">
        <f>1/(1+Assumptions!$B$26)^(1-0.5*Assumptions!$B$32)</f>
        <v>0.9634925846630124</v>
      </c>
      <c r="C14" s="21">
        <f>1/(1+Assumptions!$B$26)^(2-0.5*Assumptions!$B$32)</f>
        <v>0.8944274713445293</v>
      </c>
      <c r="D14" s="21">
        <f>1/(1+Assumptions!$B$26)^(3-0.5*Assumptions!$B$32)</f>
        <v>0.8303130861931584</v>
      </c>
      <c r="E14" s="21">
        <f>1/(1+Assumptions!$B$26)^(4-0.5*Assumptions!$B$32)</f>
        <v>0.7707945509178642</v>
      </c>
      <c r="F14" s="21">
        <f>1/(1+Assumptions!$B$26)^(5-0.5*Assumptions!$B$32)</f>
        <v>0.7155424256272156</v>
      </c>
      <c r="G14" s="21">
        <f>1/(1+Assumptions!$B$26)^(6-0.5*Assumptions!$B$32)</f>
        <v>0.6642508853530261</v>
      </c>
      <c r="H14" s="21">
        <f>1/(1+Assumptions!$B$26)^(7-0.5*Assumptions!$B$32)</f>
        <v>0.6166360272844972</v>
      </c>
      <c r="I14" s="21">
        <f>1/(1+Assumptions!$B$26)^(8-0.5*Assumptions!$B$32)</f>
        <v>0.5724342993432714</v>
      </c>
      <c r="J14" s="21">
        <f>1/(1+Assumptions!$B$26)^(9-0.5*Assumptions!$B$32)</f>
        <v>0.5314010414014293</v>
      </c>
      <c r="K14" s="21">
        <f>1/(1+Assumptions!$B$26)^(10-0.5*Assumptions!$B$32)</f>
        <v>0.49330913106795626</v>
      </c>
    </row>
    <row r="15" spans="1:11" x14ac:dyDescent="0.25">
      <c r="A15" s="19" t="s">
        <v>58</v>
      </c>
      <c r="B15" s="20">
        <f>B13*B14</f>
        <v>926767584.8492795</v>
      </c>
      <c r="C15" s="20">
        <f>C13*C14</f>
        <v>829986642.0262228</v>
      </c>
      <c r="D15" s="20">
        <f>D13*D14</f>
        <v>806563269.677134</v>
      </c>
      <c r="E15" s="20">
        <f>E13*E14</f>
        <v>781934152.3219267</v>
      </c>
      <c r="F15" s="20">
        <f>F13*F14</f>
        <v>756247634.0081563</v>
      </c>
      <c r="G15" s="20">
        <f>G13*G14</f>
        <v>729655178.9800808</v>
      </c>
      <c r="H15" s="20">
        <f>H13*H14</f>
        <v>702309880.0226325</v>
      </c>
      <c r="I15" s="20">
        <f>I13*I14</f>
        <v>674364990.6886883</v>
      </c>
      <c r="J15" s="20">
        <f>J13*J14</f>
        <v>645972501.0987656</v>
      </c>
      <c r="K15" s="20">
        <f>K13*K14</f>
        <v>617281775.7299033</v>
      </c>
    </row>
    <row r="17" spans="1:2" x14ac:dyDescent="0.25">
      <c r="A17" s="22" t="s">
        <v>59</v>
      </c>
      <c r="B17" s="23">
        <f>SUM(B15:K15)</f>
        <v>7471083609.402789</v>
      </c>
    </row>
    <row r="19" spans="1:11" x14ac:dyDescent="0.25">
      <c r="A19" t="s">
        <v>7</v>
      </c>
      <c r="B19" s="9">
        <f>Assumptions!$B$10+($B$20-Assumptions!$B$10)*0/9</f>
        <v>0.07178812456307582</v>
      </c>
      <c r="C19" s="9">
        <f>Assumptions!$B$10+($B$20-Assumptions!$B$10)*1/9</f>
        <v>0.07136337799103984</v>
      </c>
      <c r="D19" s="9">
        <f>Assumptions!$B$10+($B$20-Assumptions!$B$10)*2/9</f>
        <v>0.07093863141900388</v>
      </c>
      <c r="E19" s="9">
        <f>Assumptions!$B$10+($B$20-Assumptions!$B$10)*3/9</f>
        <v>0.0705138848469679</v>
      </c>
      <c r="F19" s="9">
        <f>Assumptions!$B$10+($B$20-Assumptions!$B$10)*4/9</f>
        <v>0.07008913827493192</v>
      </c>
      <c r="G19" s="9">
        <f>Assumptions!$B$10+($B$20-Assumptions!$B$10)*5/9</f>
        <v>0.06966439170289596</v>
      </c>
      <c r="H19" s="9">
        <f>Assumptions!$B$10+($B$20-Assumptions!$B$10)*6/9</f>
        <v>0.06923964513085998</v>
      </c>
      <c r="I19" s="9">
        <f>Assumptions!$B$10+($B$20-Assumptions!$B$10)*7/9</f>
        <v>0.068814898558824</v>
      </c>
      <c r="J19" s="9">
        <f>Assumptions!$B$10+($B$20-Assumptions!$B$10)*8/9</f>
        <v>0.06839015198678804</v>
      </c>
      <c r="K19" s="9">
        <f>Assumptions!$B$10+($B$20-Assumptions!$B$10)*9/9</f>
        <v>0.06796540541475206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0.06796540541475206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1251308230.1832948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1721095827.7483125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0.3201675647684931</v>
      </c>
    </row>
    <row r="7" spans="1:2" x14ac:dyDescent="0.25">
      <c r="A7" t="s">
        <v>66</v>
      </c>
      <c r="B7" s="18">
        <f>-MAX(B5,0)*B6</f>
        <v>-551039059.9033911</v>
      </c>
    </row>
    <row r="8" spans="1:2" x14ac:dyDescent="0.25">
      <c r="A8" t="s">
        <v>67</v>
      </c>
      <c r="B8" s="18">
        <f>IF(OR(Assumptions!$B$33=0,Assumptions!B12&lt;=0),B5,MAX(B5+B7,0))</f>
        <v>1170056767.8449214</v>
      </c>
    </row>
    <row r="9" spans="1:2" x14ac:dyDescent="0.25">
      <c r="A9" t="s">
        <v>68</v>
      </c>
      <c r="B9" s="18">
        <f>B8*(1+Assumptions!B12)/(Assumptions!B26-Assumptions!B12)</f>
        <v>22967719950.421257</v>
      </c>
    </row>
    <row r="10" spans="1:2" x14ac:dyDescent="0.25">
      <c r="A10" t="s">
        <v>69</v>
      </c>
      <c r="B10" s="18">
        <f>B9/(1+Assumptions!B26)^(10-0.5*Assumptions!B32)</f>
        <v>11330185971.354473</v>
      </c>
    </row>
    <row r="11" spans="1:2" x14ac:dyDescent="0.25">
      <c r="A11" t="s">
        <v>70</v>
      </c>
      <c r="B11" s="18">
        <f>Forecast!B17+B10</f>
        <v>18801269580.757263</v>
      </c>
    </row>
    <row r="12" spans="1:2" x14ac:dyDescent="0.25">
      <c r="A12" t="s">
        <v>71</v>
      </c>
      <c r="B12" s="18">
        <f>-Assumptions!B30</f>
        <v>-5800000000</v>
      </c>
    </row>
    <row r="13" spans="1:2" x14ac:dyDescent="0.25">
      <c r="A13" t="s">
        <v>72</v>
      </c>
      <c r="B13" s="18">
        <f>B11+B12</f>
        <v>13001269580.757263</v>
      </c>
    </row>
    <row r="14" spans="1:2" x14ac:dyDescent="0.25">
      <c r="A14" s="19" t="s">
        <v>73</v>
      </c>
      <c r="B14" s="24">
        <f>B13/Assumptions!B31</f>
        <v>47.1108285650619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3008472583.5675874</v>
      </c>
    </row>
    <row r="18" spans="1:2" x14ac:dyDescent="0.25">
      <c r="A18" t="s">
        <v>68</v>
      </c>
      <c r="B18" s="18">
        <f>B17*Assumptions!B13</f>
        <v>35614748889.77452</v>
      </c>
    </row>
    <row r="19" spans="1:2" x14ac:dyDescent="0.25">
      <c r="A19" t="s">
        <v>69</v>
      </c>
      <c r="B19" s="18">
        <f>B18/(1+Assumptions!B26)^(10-0.5*Assumptions!B32)</f>
        <v>17569080828.018127</v>
      </c>
    </row>
    <row r="20" spans="1:2" x14ac:dyDescent="0.25">
      <c r="A20" t="s">
        <v>70</v>
      </c>
      <c r="B20" s="18">
        <f>Forecast!B17+B19</f>
        <v>25040164437.420918</v>
      </c>
    </row>
    <row r="21" spans="1:2" x14ac:dyDescent="0.25">
      <c r="A21" t="s">
        <v>71</v>
      </c>
      <c r="B21" s="18">
        <f>-Assumptions!B30</f>
        <v>-5800000000</v>
      </c>
    </row>
    <row r="22" spans="1:2" x14ac:dyDescent="0.25">
      <c r="A22" t="s">
        <v>72</v>
      </c>
      <c r="B22" s="18">
        <f>B20+B21</f>
        <v>19240164437.420918</v>
      </c>
    </row>
    <row r="23" spans="1:2" x14ac:dyDescent="0.25">
      <c r="A23" s="19" t="s">
        <v>73</v>
      </c>
      <c r="B23" s="25">
        <f>B22/Assumptions!B31</f>
        <v>69.71781353695634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68.07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47.1108285650619</v>
      </c>
    </row>
    <row r="29" spans="1:2" x14ac:dyDescent="0.25">
      <c r="A29" s="19" t="s">
        <v>81</v>
      </c>
      <c r="B29" s="11">
        <f>B28/B26-1</f>
        <v>-0.3079061471270471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0.057217</v>
      </c>
      <c r="B5" s="31">
        <v>82.50656754762025</v>
      </c>
      <c r="C5" s="31">
        <v>84.78112486118839</v>
      </c>
      <c r="D5" s="31">
        <v>88.0815719622412</v>
      </c>
      <c r="E5" s="31">
        <v>92.97330352367698</v>
      </c>
      <c r="F5" s="31">
        <v>100.53068903308363</v>
      </c>
    </row>
    <row r="6" spans="1:6" x14ac:dyDescent="0.25">
      <c r="A6" s="30">
        <v>0.067217</v>
      </c>
      <c r="B6" s="31">
        <v>62.436563959563564</v>
      </c>
      <c r="C6" s="31">
        <v>62.47566315669728</v>
      </c>
      <c r="D6" s="31">
        <v>62.754599023063776</v>
      </c>
      <c r="E6" s="31">
        <v>63.37003571854946</v>
      </c>
      <c r="F6" s="31">
        <v>64.47864557257006</v>
      </c>
    </row>
    <row r="7" spans="1:6" x14ac:dyDescent="0.25">
      <c r="A7" s="30">
        <v>0.077217</v>
      </c>
      <c r="B7" s="31">
        <v>48.83823088675452</v>
      </c>
      <c r="C7" s="31">
        <v>47.969656020933094</v>
      </c>
      <c r="D7" s="32">
        <v>47.110980337434505</v>
      </c>
      <c r="E7" s="31">
        <v>46.26534863018565</v>
      </c>
      <c r="F7" s="31">
        <v>45.43739551660942</v>
      </c>
    </row>
    <row r="8" spans="1:6" x14ac:dyDescent="0.25">
      <c r="A8" s="30">
        <v>0.087217</v>
      </c>
      <c r="B8" s="31">
        <v>40.149244047972886</v>
      </c>
      <c r="C8" s="31">
        <v>39.36965853311431</v>
      </c>
      <c r="D8" s="31">
        <v>38.59007301825574</v>
      </c>
      <c r="E8" s="31">
        <v>37.81048750339718</v>
      </c>
      <c r="F8" s="31">
        <v>37.0309019885386</v>
      </c>
    </row>
    <row r="9" spans="1:6" x14ac:dyDescent="0.25">
      <c r="A9" s="30">
        <v>0.097217</v>
      </c>
      <c r="B9" s="31">
        <v>33.398147518663734</v>
      </c>
      <c r="C9" s="31">
        <v>32.73580778651944</v>
      </c>
      <c r="D9" s="31">
        <v>32.07346805437511</v>
      </c>
      <c r="E9" s="31">
        <v>31.411128322230798</v>
      </c>
      <c r="F9" s="31">
        <v>30.7487885900865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13161000000</v>
      </c>
      <c r="C5" s="18">
        <v>11795000000</v>
      </c>
      <c r="D5" s="18">
        <v>12062000000</v>
      </c>
      <c r="E5" s="18">
        <v>13372000000</v>
      </c>
      <c r="F5" s="6" t="s">
        <v>91</v>
      </c>
    </row>
    <row r="6" spans="1:6" x14ac:dyDescent="0.25">
      <c r="A6" t="s">
        <v>51</v>
      </c>
      <c r="B6" s="18">
        <v>1390000000</v>
      </c>
      <c r="C6" s="18">
        <v>1183000000</v>
      </c>
      <c r="D6" s="18">
        <v>1171000000</v>
      </c>
      <c r="E6" s="18">
        <v>1101000000</v>
      </c>
      <c r="F6" s="6" t="s">
        <v>92</v>
      </c>
    </row>
    <row r="7" spans="1:6" x14ac:dyDescent="0.25">
      <c r="A7" t="s">
        <v>93</v>
      </c>
      <c r="B7" s="18">
        <v>622000000</v>
      </c>
      <c r="C7" s="18">
        <v>620000000</v>
      </c>
      <c r="D7" s="18">
        <v>686000000</v>
      </c>
      <c r="E7" s="18">
        <v>672000000</v>
      </c>
      <c r="F7" s="6" t="s">
        <v>94</v>
      </c>
    </row>
    <row r="8" spans="1:6" x14ac:dyDescent="0.25">
      <c r="A8" t="s">
        <v>95</v>
      </c>
      <c r="B8" s="18">
        <v>474000000</v>
      </c>
      <c r="C8" s="18">
        <v>484000000</v>
      </c>
      <c r="D8" s="18">
        <v>1045000000</v>
      </c>
      <c r="E8" s="18">
        <v>1651000000</v>
      </c>
      <c r="F8" s="6" t="s">
        <v>96</v>
      </c>
    </row>
    <row r="9" spans="1:6" x14ac:dyDescent="0.25">
      <c r="A9" t="s">
        <v>97</v>
      </c>
      <c r="B9" s="18">
        <v>131000000</v>
      </c>
      <c r="C9" s="18">
        <v>551000000</v>
      </c>
      <c r="D9" s="18">
        <v>-360000000</v>
      </c>
      <c r="E9" s="18">
        <v>924000000</v>
      </c>
      <c r="F9" s="6" t="s">
        <v>98</v>
      </c>
    </row>
    <row r="10" spans="1:6" x14ac:dyDescent="0.25">
      <c r="A10" t="s">
        <v>99</v>
      </c>
      <c r="B10" s="18">
        <v>7012000000</v>
      </c>
      <c r="C10" s="18">
        <v>5673000000</v>
      </c>
      <c r="D10" s="18">
        <v>8569000000</v>
      </c>
      <c r="E10" s="18">
        <v>8948000000</v>
      </c>
      <c r="F10" s="6" t="s">
        <v>100</v>
      </c>
    </row>
    <row r="11" spans="1:6" x14ac:dyDescent="0.25">
      <c r="A11" t="s">
        <v>101</v>
      </c>
      <c r="B11" s="18">
        <v>1212000000</v>
      </c>
      <c r="C11" s="18">
        <v>885000000</v>
      </c>
      <c r="D11" s="18">
        <v>695000000</v>
      </c>
      <c r="E11" s="18">
        <v>548000000</v>
      </c>
      <c r="F11" s="6" t="s">
        <v>102</v>
      </c>
    </row>
    <row r="12" spans="1:6" x14ac:dyDescent="0.25">
      <c r="A12" t="s">
        <v>34</v>
      </c>
      <c r="B12" s="34">
        <v>275972000</v>
      </c>
      <c r="C12" s="34">
        <v>308206000</v>
      </c>
      <c r="D12" s="34">
        <v>317022000</v>
      </c>
      <c r="E12" s="34">
        <v>320008000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