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<sst xmlns="http://schemas.openxmlformats.org/spreadsheetml/2006/main" count="113" uniqueCount="101">
  <si>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Banco BPM S.p.A. (BAMI.MI)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</si>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</sst>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0.12242609361334522</v>
      </c>
    </row>
    <row r="7" spans="1:2" x14ac:dyDescent="0.25">
      <c r="A7" t="s">
        <v>5</v>
      </c>
      <c r="B7" s="6">
        <v>0.3349651152621081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0.052602319450424914</v>
      </c>
    </row>
    <row r="10" spans="1:2" x14ac:dyDescent="0.25">
      <c r="A10" t="s">
        <v>8</v>
      </c>
      <c r="B10" s="6">
        <v>0.054444469905631274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14.059899975492474</v>
      </c>
    </row>
    <row r="14" spans="1:3" x14ac:dyDescent="0.25">
      <c r="A14" t="s">
        <v>12</v>
      </c>
      <c r="B14" s="6">
        <v>0.07185335872659304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0.6583</v>
      </c>
      <c r="C19" s="8" t="s">
        <v>19</v>
      </c>
    </row>
    <row r="20" spans="1:2" x14ac:dyDescent="0.25">
      <c r="A20" t="s">
        <v>20</v>
      </c>
      <c r="B20" s="10">
        <f>B17+B19*B18</f>
        <v>0.0847895</v>
      </c>
    </row>
    <row r="21" spans="1:3" x14ac:dyDescent="0.25">
      <c r="A21" t="s">
        <v>21</v>
      </c>
      <c r="B21" s="6">
        <v>0.08160036949665979</v>
      </c>
      <c r="C21" s="8" t="s">
        <v>22</v>
      </c>
    </row>
    <row r="22" spans="1:2" x14ac:dyDescent="0.25">
      <c r="A22" t="s">
        <v>23</v>
      </c>
      <c r="B22" s="11">
        <v>23634843648</v>
      </c>
    </row>
    <row r="23" spans="1:2" x14ac:dyDescent="0.25">
      <c r="A23" t="s">
        <v>24</v>
      </c>
      <c r="B23" s="11">
        <v>28700022000</v>
      </c>
    </row>
    <row r="24" spans="1:2" x14ac:dyDescent="0.25">
      <c r="A24" t="s">
        <v>25</v>
      </c>
      <c r="B24" s="10">
        <f>B22/(B22+B23)</f>
        <v>0.4516079931678054</v>
      </c>
    </row>
    <row r="25" spans="1:2" x14ac:dyDescent="0.25">
      <c r="A25" t="s">
        <v>26</v>
      </c>
      <c r="B25" s="10">
        <f>1-B24</f>
        <v>0.5483920068321946</v>
      </c>
    </row>
    <row r="26" spans="1:2" x14ac:dyDescent="0.25">
      <c r="A26" t="s">
        <v>27</v>
      </c>
      <c r="B26" s="12">
        <f>B24*B20+B25*B21*(1-B8)</f>
        <v>0.07185335872659304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6639492000</v>
      </c>
      <c r="C29" s="8" t="s">
        <v>30</v>
      </c>
    </row>
    <row r="30" spans="1:2" x14ac:dyDescent="0.25">
      <c r="A30" t="s">
        <v>31</v>
      </c>
      <c r="B30" s="11">
        <v>21285651000</v>
      </c>
    </row>
    <row r="31" spans="1:2" x14ac:dyDescent="0.25">
      <c r="A31" t="s">
        <v>32</v>
      </c>
      <c r="B31" s="13">
        <v>1503373604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0.12242609361334522</v>
      </c>
      <c r="C5" s="10">
        <f>Assumptions!B6</f>
        <v>0.12242609361334522</v>
      </c>
      <c r="D5" s="10">
        <f>Assumptions!B6</f>
        <v>0.12242609361334522</v>
      </c>
      <c r="E5" s="10">
        <f>Assumptions!B6</f>
        <v>0.12242609361334522</v>
      </c>
      <c r="F5" s="10">
        <f>Assumptions!B6</f>
        <v>0.12242609361334522</v>
      </c>
    </row>
    <row r="6" spans="1:6" x14ac:dyDescent="0.25">
      <c r="A6" t="s">
        <v>43</v>
      </c>
      <c r="B6" s="18">
        <f>Assumptions!B29*(1+B5)</f>
        <v>7452339069.137056</v>
      </c>
      <c r="C6" s="18">
        <f>B6*(1+C5)</f>
        <v>8364699829.65362</v>
      </c>
      <c r="D6" s="18">
        <f>C6*(1+D5)</f>
        <v>9388757354.046328</v>
      </c>
      <c r="E6" s="18">
        <f>D6*(1+E5)</f>
        <v>10538186240.785788</v>
      </c>
      <c r="F6" s="18">
        <f>E6*(1+F5)</f>
        <v>11828335216.015095</v>
      </c>
    </row>
    <row r="7" spans="1:6" x14ac:dyDescent="0.25">
      <c r="A7" t="s">
        <v>5</v>
      </c>
      <c r="B7" s="10">
        <f>Assumptions!B7</f>
        <v>0.3349651152621081</v>
      </c>
      <c r="C7" s="10">
        <f>Assumptions!B7</f>
        <v>0.3349651152621081</v>
      </c>
      <c r="D7" s="10">
        <f>Assumptions!B7</f>
        <v>0.3349651152621081</v>
      </c>
      <c r="E7" s="10">
        <f>Assumptions!B7</f>
        <v>0.3349651152621081</v>
      </c>
      <c r="F7" s="10">
        <f>Assumptions!B7</f>
        <v>0.3349651152621081</v>
      </c>
    </row>
    <row r="8" spans="1:6" x14ac:dyDescent="0.25">
      <c r="A8" t="s">
        <v>44</v>
      </c>
      <c r="B8" s="18">
        <f>B6*B7</f>
        <v>2496273615.2658052</v>
      </c>
      <c r="C8" s="18">
        <f>C6*C7</f>
        <v>2801882642.5728607</v>
      </c>
      <c r="D8" s="18">
        <f>D6*D7</f>
        <v>3144906189.2660933</v>
      </c>
      <c r="E8" s="18">
        <f>E6*E7</f>
        <v>3529924768.7983727</v>
      </c>
      <c r="F8" s="18">
        <f>F6*F7</f>
        <v>3962079668.9913483</v>
      </c>
    </row>
    <row r="9" spans="1:6" x14ac:dyDescent="0.25">
      <c r="A9" t="s">
        <v>45</v>
      </c>
      <c r="B9" s="18">
        <f>B8*(1-Assumptions!B8)</f>
        <v>1872205211.449354</v>
      </c>
      <c r="C9" s="18">
        <f>C8*(1-Assumptions!B8)</f>
        <v>2101411981.9296455</v>
      </c>
      <c r="D9" s="18">
        <f>D8*(1-Assumptions!B8)</f>
        <v>2358679641.9495697</v>
      </c>
      <c r="E9" s="18">
        <f>E8*(1-Assumptions!B8)</f>
        <v>2647443576.5987797</v>
      </c>
      <c r="F9" s="18">
        <f>F8*(1-Assumptions!B8)</f>
        <v>2971559751.743511</v>
      </c>
    </row>
    <row r="10" spans="1:6" x14ac:dyDescent="0.25">
      <c r="A10" t="s">
        <v>46</v>
      </c>
      <c r="B10" s="18">
        <f>B6*Assumptions!B9</f>
        <v>392010320.3676297</v>
      </c>
      <c r="C10" s="18">
        <f>C6*Assumptions!B9</f>
        <v>440002612.5463546</v>
      </c>
      <c r="D10" s="18">
        <f>D6*Assumptions!B9</f>
        <v>493870413.5800711</v>
      </c>
      <c r="E10" s="18">
        <f>E6*Assumptions!B9</f>
        <v>554333039.0658865</v>
      </c>
      <c r="F10" s="18">
        <f>F6*Assumptions!B9</f>
        <v>622197867.5995368</v>
      </c>
    </row>
    <row r="11" spans="1:6" x14ac:dyDescent="0.25">
      <c r="A11" t="s">
        <v>47</v>
      </c>
      <c r="B11" s="18">
        <f>-B6*Assumptions!B10</f>
        <v>-405738650.17619264</v>
      </c>
      <c r="C11" s="18">
        <f>-C6*Assumptions!B10</f>
        <v>-455411648.1452156</v>
      </c>
      <c r="D11" s="18">
        <f>-D6*Assumptions!B10</f>
        <v>-511165917.2136496</v>
      </c>
      <c r="E11" s="18">
        <f>-E6*Assumptions!B10</f>
        <v>-573745963.6463994</v>
      </c>
      <c r="F11" s="18">
        <f>-F6*Assumptions!B10</f>
        <v>-643987440.7020525</v>
      </c>
    </row>
    <row r="12" spans="1:6" x14ac:dyDescent="0.25">
      <c r="A12" t="s">
        <v>48</v>
      </c>
      <c r="B12" s="18">
        <f>-(B6-Assumptions!B29)*Assumptions!B11</f>
        <v>812847069.1370564</v>
      </c>
      <c r="C12" s="18">
        <f>-(C6-B6)*Assumptions!B11</f>
        <v>912360760.5165634</v>
      </c>
      <c r="D12" s="18">
        <f>-(D6-C6)*Assumptions!B11</f>
        <v>1024057524.3927078</v>
      </c>
      <c r="E12" s="18">
        <f>-(E6-D6)*Assumptions!B11</f>
        <v>1149428886.73946</v>
      </c>
      <c r="F12" s="18">
        <f>-(F6-E6)*Assumptions!B11</f>
        <v>1290148975.2293072</v>
      </c>
    </row>
    <row r="13" spans="1:6" x14ac:dyDescent="0.25">
      <c r="A13" s="19" t="s">
        <v>49</v>
      </c>
      <c r="B13" s="20">
        <f>B9+B10+B11+B12</f>
        <v>2671323950.7778473</v>
      </c>
      <c r="C13" s="20">
        <f>C9+C10+C11+C12</f>
        <v>2998363706.847348</v>
      </c>
      <c r="D13" s="20">
        <f>D9+D10+D11+D12</f>
        <v>3365441662.7086987</v>
      </c>
      <c r="E13" s="20">
        <f>E9+E10+E11+E12</f>
        <v>3777459538.7577267</v>
      </c>
      <c r="F13" s="20">
        <f>F9+F10+F11+F12</f>
        <v>4239919153.8703027</v>
      </c>
    </row>
    <row r="14" spans="1:6" x14ac:dyDescent="0.25">
      <c r="A14" t="s">
        <v>50</v>
      </c>
      <c r="B14" s="21">
        <f>1/(1+Assumptions!$B$26)^(1-0.5*Assumptions!$B$32)</f>
        <v>0.9659003276984034</v>
      </c>
      <c r="C14" s="21">
        <f>1/(1+Assumptions!$B$26)^(2-0.5*Assumptions!$B$32)</f>
        <v>0.901149695370581</v>
      </c>
      <c r="D14" s="21">
        <f>1/(1+Assumptions!$B$26)^(3-0.5*Assumptions!$B$32)</f>
        <v>0.8407397224944883</v>
      </c>
      <c r="E14" s="21">
        <f>1/(1+Assumptions!$B$26)^(4-0.5*Assumptions!$B$32)</f>
        <v>0.7843794262055795</v>
      </c>
      <c r="F14" s="21">
        <f>1/(1+Assumptions!$B$26)^(5-0.5*Assumptions!$B$32)</f>
        <v>0.7317973301286804</v>
      </c>
    </row>
    <row r="15" spans="1:6" x14ac:dyDescent="0.25">
      <c r="A15" s="19" t="s">
        <v>51</v>
      </c>
      <c r="B15" s="20">
        <f>B13*B14</f>
        <v>2580232679.4449162</v>
      </c>
      <c r="C15" s="20">
        <f>C13*C14</f>
        <v>2701974541.0356936</v>
      </c>
      <c r="D15" s="20">
        <f>D13*D14</f>
        <v>2829460489.5771003</v>
      </c>
      <c r="E15" s="20">
        <f>E13*E14</f>
        <v>2962961545.525579</v>
      </c>
      <c r="F15" s="20">
        <f>F13*F14</f>
        <v>3102761516.7637415</v>
      </c>
    </row>
    <row r="17" spans="1:2" x14ac:dyDescent="0.25">
      <c r="A17" s="22" t="s">
        <v>52</v>
      </c>
      <c r="B17" s="23">
        <f>SUM(B15:F15)</f>
        <v>14177390772.34703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4239919153.8703027</v>
      </c>
    </row>
    <row r="5" spans="1:2" x14ac:dyDescent="0.25">
      <c r="A5" t="s">
        <v>56</v>
      </c>
      <c r="B5" s="18">
        <f>IF(Assumptions!$B$33=0,B4,B4-Forecast!F11-Forecast!F10-Forecast!F12)</f>
        <v>3023234755.8313565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0.3479308475352797</v>
      </c>
    </row>
    <row r="7" spans="1:2" x14ac:dyDescent="0.25">
      <c r="A7" t="s">
        <v>58</v>
      </c>
      <c r="B7" s="18">
        <f>-MAX(Forecast!F9,0)*B6</f>
        <v>-1051876630.8945183</v>
      </c>
    </row>
    <row r="8" spans="1:2" x14ac:dyDescent="0.25">
      <c r="A8" t="s">
        <v>59</v>
      </c>
      <c r="B8" s="18">
        <f>IF(OR(Assumptions!$B$33=0,Assumptions!B12&lt;=0),B5,MAX(B5+B7,0))</f>
        <v>1971358124.9368382</v>
      </c>
    </row>
    <row r="9" spans="1:2" x14ac:dyDescent="0.25">
      <c r="A9" t="s">
        <v>60</v>
      </c>
      <c r="B9" s="18">
        <f>B8*(1+Assumptions!B12)/(Assumptions!B26-Assumptions!B12)</f>
        <v>43126941866.67523</v>
      </c>
    </row>
    <row r="10" spans="1:2" x14ac:dyDescent="0.25">
      <c r="A10" t="s">
        <v>61</v>
      </c>
      <c r="B10" s="18">
        <f>B9/(1+Assumptions!B26)^(5-0.5*Assumptions!B32)</f>
        <v>31560180914.647743</v>
      </c>
    </row>
    <row r="11" spans="1:2" x14ac:dyDescent="0.25">
      <c r="A11" t="s">
        <v>62</v>
      </c>
      <c r="B11" s="18">
        <f>Forecast!B17+B10</f>
        <v>45737571686.994774</v>
      </c>
    </row>
    <row r="12" spans="1:2" x14ac:dyDescent="0.25">
      <c r="A12" t="s">
        <v>63</v>
      </c>
      <c r="B12" s="18">
        <f>-Assumptions!B30</f>
        <v>-21285651000</v>
      </c>
    </row>
    <row r="13" spans="1:2" x14ac:dyDescent="0.25">
      <c r="A13" t="s">
        <v>64</v>
      </c>
      <c r="B13" s="18">
        <f>B11+B12</f>
        <v>24451920686.994774</v>
      </c>
    </row>
    <row r="14" spans="1:2" x14ac:dyDescent="0.25">
      <c r="A14" s="19" t="s">
        <v>65</v>
      </c>
      <c r="B14" s="24">
        <f>B13/Assumptions!B31</f>
        <v>16.264700019965744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4584277536.590885</v>
      </c>
    </row>
    <row r="18" spans="1:2" x14ac:dyDescent="0.25">
      <c r="A18" t="s">
        <v>60</v>
      </c>
      <c r="B18" s="18">
        <f>B17*Assumptions!B13</f>
        <v>64454483624.36488</v>
      </c>
    </row>
    <row r="19" spans="1:2" x14ac:dyDescent="0.25">
      <c r="A19" t="s">
        <v>61</v>
      </c>
      <c r="B19" s="18">
        <f>B18/(1+Assumptions!B26)^(5-0.5*Assumptions!B32)</f>
        <v>47167619031.13297</v>
      </c>
    </row>
    <row r="20" spans="1:2" x14ac:dyDescent="0.25">
      <c r="A20" t="s">
        <v>62</v>
      </c>
      <c r="B20" s="18">
        <f>Forecast!B17+B19</f>
        <v>61345009803.48</v>
      </c>
    </row>
    <row r="21" spans="1:2" x14ac:dyDescent="0.25">
      <c r="A21" t="s">
        <v>63</v>
      </c>
      <c r="B21" s="18">
        <f>-Assumptions!B30</f>
        <v>-21285651000</v>
      </c>
    </row>
    <row r="22" spans="1:2" x14ac:dyDescent="0.25">
      <c r="A22" t="s">
        <v>64</v>
      </c>
      <c r="B22" s="18">
        <f>B20+B21</f>
        <v>40059358803.48</v>
      </c>
    </row>
    <row r="23" spans="1:2" x14ac:dyDescent="0.25">
      <c r="A23" s="19" t="s">
        <v>65</v>
      </c>
      <c r="B23" s="25">
        <f>B22/Assumptions!B31</f>
        <v>26.646309804093118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15.7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16.264700019965744</v>
      </c>
    </row>
    <row r="29" spans="1:2" x14ac:dyDescent="0.25">
      <c r="A29" s="19" t="s">
        <v>73</v>
      </c>
      <c r="B29" s="12">
        <f>B28/B26-1</f>
        <v>0.03596815413794552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0.051853</v>
      </c>
      <c r="B5" s="31">
        <v>27.10162250116054</v>
      </c>
      <c r="C5" s="31">
        <v>27.256077988700763</v>
      </c>
      <c r="D5" s="31">
        <v>27.410533476240992</v>
      </c>
      <c r="E5" s="31">
        <v>27.564988963781218</v>
      </c>
      <c r="F5" s="31">
        <v>27.719444451321444</v>
      </c>
    </row>
    <row r="6" spans="1:6" x14ac:dyDescent="0.25">
      <c r="A6" s="30">
        <v>0.061853</v>
      </c>
      <c r="B6" s="31">
        <v>20.69413701344778</v>
      </c>
      <c r="C6" s="31">
        <v>20.81822347315963</v>
      </c>
      <c r="D6" s="31">
        <v>20.94230993287148</v>
      </c>
      <c r="E6" s="31">
        <v>21.066396392583332</v>
      </c>
      <c r="F6" s="31">
        <v>21.190482852295187</v>
      </c>
    </row>
    <row r="7" spans="1:6" x14ac:dyDescent="0.25">
      <c r="A7" s="30">
        <v>0.071853</v>
      </c>
      <c r="B7" s="31">
        <v>16.0600344539254</v>
      </c>
      <c r="C7" s="31">
        <v>16.162439539448794</v>
      </c>
      <c r="D7" s="32">
        <v>16.264844624972184</v>
      </c>
      <c r="E7" s="31">
        <v>16.367249710495578</v>
      </c>
      <c r="F7" s="31">
        <v>16.469654796018972</v>
      </c>
    </row>
    <row r="8" spans="1:6" x14ac:dyDescent="0.25">
      <c r="A8" s="30">
        <v>0.081853</v>
      </c>
      <c r="B8" s="31">
        <v>12.549961589963006</v>
      </c>
      <c r="C8" s="31">
        <v>12.636176665328376</v>
      </c>
      <c r="D8" s="31">
        <v>12.722391740693734</v>
      </c>
      <c r="E8" s="31">
        <v>12.808606816059093</v>
      </c>
      <c r="F8" s="31">
        <v>12.894821891424458</v>
      </c>
    </row>
    <row r="9" spans="1:6" x14ac:dyDescent="0.25">
      <c r="A9" s="30">
        <v>0.091853</v>
      </c>
      <c r="B9" s="31">
        <v>9.797304082075193</v>
      </c>
      <c r="C9" s="31">
        <v>9.871016870023043</v>
      </c>
      <c r="D9" s="31">
        <v>9.944729657970887</v>
      </c>
      <c r="E9" s="31">
        <v>10.018442445918739</v>
      </c>
      <c r="F9" s="31">
        <v>10.092155233866583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6639492000</v>
      </c>
      <c r="C5" s="18">
        <v>6826522000</v>
      </c>
      <c r="D5" s="18">
        <v>5653094000</v>
      </c>
      <c r="E5" s="18">
        <v>4695281000</v>
      </c>
      <c r="F5" s="8" t="s">
        <v>84</v>
      </c>
    </row>
    <row r="6" spans="1:6" x14ac:dyDescent="0.25">
      <c r="A6" t="s">
        <v>44</v>
      </c>
      <c r="B6" s="18">
        <v>2861955000</v>
      </c>
      <c r="C6" s="18">
        <v>2596242000</v>
      </c>
      <c r="D6" s="18">
        <v>1777654000</v>
      </c>
      <c r="E6" s="18">
        <v>1004961000</v>
      </c>
      <c r="F6" s="8" t="s">
        <v>85</v>
      </c>
    </row>
    <row r="7" spans="1:6" x14ac:dyDescent="0.25">
      <c r="A7" t="s">
        <v>86</v>
      </c>
      <c r="B7" s="18">
        <v>332982000</v>
      </c>
      <c r="C7" s="18">
        <v>292884000</v>
      </c>
      <c r="D7" s="18">
        <v>277707000</v>
      </c>
      <c r="E7" s="18">
        <v>320354000</v>
      </c>
      <c r="F7" s="8" t="s">
        <v>87</v>
      </c>
    </row>
    <row r="8" spans="1:6" x14ac:dyDescent="0.25">
      <c r="A8" t="s">
        <v>88</v>
      </c>
      <c r="B8" s="18">
        <v>512749000</v>
      </c>
      <c r="C8" s="18">
        <v>256434000</v>
      </c>
      <c r="D8" s="18">
        <v>188997000</v>
      </c>
      <c r="E8" s="18">
        <v>326575000</v>
      </c>
      <c r="F8" s="8" t="s">
        <v>89</v>
      </c>
    </row>
    <row r="9" spans="1:6" x14ac:dyDescent="0.25">
      <c r="A9" t="s">
        <v>90</v>
      </c>
      <c r="B9" s="18">
        <v>6627470000</v>
      </c>
      <c r="C9" s="18">
        <v>8346363000</v>
      </c>
      <c r="D9" s="18">
        <v>-3469996000</v>
      </c>
      <c r="E9" s="18">
        <v>21691478000</v>
      </c>
      <c r="F9" s="8" t="s">
        <v>91</v>
      </c>
    </row>
    <row r="10" spans="1:6" x14ac:dyDescent="0.25">
      <c r="A10" t="s">
        <v>92</v>
      </c>
      <c r="B10" s="18">
        <v>28700022000</v>
      </c>
      <c r="C10" s="18">
        <v>29389813000</v>
      </c>
      <c r="D10" s="18">
        <v>23953077000</v>
      </c>
      <c r="E10" s="18">
        <v>16765433000</v>
      </c>
      <c r="F10" s="8" t="s">
        <v>93</v>
      </c>
    </row>
    <row r="11" spans="1:6" x14ac:dyDescent="0.25">
      <c r="A11" t="s">
        <v>94</v>
      </c>
      <c r="B11" s="18">
        <v>7414371000</v>
      </c>
      <c r="C11" s="18">
        <v>13808915000</v>
      </c>
      <c r="D11" s="18">
        <v>19869495000</v>
      </c>
      <c r="E11" s="18">
        <v>15022083000</v>
      </c>
      <c r="F11" s="8" t="s">
        <v>95</v>
      </c>
    </row>
    <row r="12" spans="1:6" x14ac:dyDescent="0.25">
      <c r="A12" t="s">
        <v>32</v>
      </c>
      <c r="B12" s="34">
        <v>1503373604</v>
      </c>
      <c r="C12" s="34">
        <v>1501382319</v>
      </c>
      <c r="D12" s="34">
        <v>1507882573</v>
      </c>
      <c r="E12" s="34">
        <v>1508790220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2026-09-19T00:07:49Z</dcterms:modified>
</cp:coreProperties>
</file>