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<sst xmlns="http://schemas.openxmlformats.org/spreadsheetml/2006/main" count="113" uniqueCount="101">
  <si>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Barclays PLC (BARC.L)</t>
  </si>
  <si>
    <t>DCF Studio - Base case</t>
  </si>
  <si>
    <t>Blue figures on a cream fill are inputs. Every other figure is a formula - change an input and the model reprices. Currency figures are GBP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</si>
  <si>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</si>
  <si>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</si>
  <si>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</si>
  <si>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</si>
  <si>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</si>
  <si>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</si>
  <si>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</si>
  <si>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</si>
  <si>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</si>
  <si>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</si>
  <si>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</si>
  <si>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</si>
  <si>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</si>
  <si>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</si>
  <si>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</si>
  <si>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</si>
  <si>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</si>
  <si>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</si>
  <si>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</si>
  <si>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</si>
  <si>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(GBP m)</t>
  </si>
  <si>
    <t>Total debt (GBP m)</t>
  </si>
  <si>
    <t>Equity weight</t>
  </si>
  <si>
    <t>Debt weight</t>
  </si>
  <si>
    <t>WACC</t>
  </si>
  <si>
    <t>Base year</t>
  </si>
  <si>
    <t>Revenue, last reported year (GBP m)</t>
  </si>
  <si>
    <t>Fiscal year ended 2025-12-31</t>
  </si>
  <si>
    <t>Net debt (GBP m)</t>
  </si>
  <si>
    <t>Diluted shares</t>
  </si>
  <si>
    <t>Mid-year discounting (1 = yes, 0 = no)</t>
  </si>
  <si>
    <t>Terminal year on a steady-state footing (1 = yes, 0 = no)</t>
  </si>
  <si>
    <t>Forecast cashflows (GBP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</si>
  <si>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</si>
  <si>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</si>
  <si>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</si>
  <si>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</si>
  <si>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</si>
  <si>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</si>
  <si>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</si>
  <si>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</si>
  <si>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</si>
  <si>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</si>
  <si>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</si>
  <si>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</si>
  <si>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</si>
  <si>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</si>
  <si>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</si>
  <si>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</si>
  <si>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</si>
  <si>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(GBP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</si>
  <si>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</si>
  <si>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</si>
  <si>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</si>
  <si>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</si>
  <si>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</si>
  <si>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</si>
  <si>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</si>
  <si>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</si>
  <si>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</si>
  <si>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</si>
  <si>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</si>
  <si>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</si>
  <si>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</si>
  <si>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</si>
  <si>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</si>
  <si>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(GBp)</t>
  </si>
  <si>
    <t>Conversion, GBP to GBp</t>
  </si>
  <si>
    <t>then x100, because GBp is a sub-unit of GBP</t>
  </si>
  <si>
    <t>Value per share (GBp)</t>
  </si>
  <si>
    <t>Implied upside</t>
  </si>
  <si>
    <t>Value per share (GBP)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</si>
  <si>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</si>
  <si>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(GBP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</si>
  <si>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</si>
  <si>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</si>
  <si>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</si>
  <si>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</si>
  <si>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</si>
  <si>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</si>
  <si>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</si>
  <si>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</si>
  <si>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</si>
  <si>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</si>
  <si>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</si>
  <si>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</si>
  <si>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</si>
  <si>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</si>
  <si>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</si>
  <si>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</si>
  <si>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</si>
  <si>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</si>
  <si>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</si>
  <si>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</si>
  <si>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</si>
  <si>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</si>
  <si>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Note: Risk-free rate is an assumption: GBP assumption - no free live source available for this market.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</si>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</sst>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0.05211116214059963</v>
      </c>
    </row>
    <row r="7" spans="1:2" x14ac:dyDescent="0.25">
      <c r="A7" t="s">
        <v>5</v>
      </c>
      <c r="B7" s="6">
        <v>0.2903231265284215</v>
      </c>
    </row>
    <row r="8" spans="1:2" x14ac:dyDescent="0.25">
      <c r="A8" t="s">
        <v>6</v>
      </c>
      <c r="B8" s="6">
        <v>0.1994704896866508</v>
      </c>
    </row>
    <row r="9" spans="1:2" x14ac:dyDescent="0.25">
      <c r="A9" t="s">
        <v>7</v>
      </c>
      <c r="B9" s="6">
        <v>0.06605368552728791</v>
      </c>
    </row>
    <row r="10" spans="1:2" x14ac:dyDescent="0.25">
      <c r="A10" t="s">
        <v>8</v>
      </c>
      <c r="B10" s="6">
        <v>0.06531622681384032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4.782077303717301</v>
      </c>
    </row>
    <row r="14" spans="1:3" x14ac:dyDescent="0.25">
      <c r="A14" t="s">
        <v>12</v>
      </c>
      <c r="B14" s="6">
        <v>0.08772925900578253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0.91491</v>
      </c>
      <c r="C19" s="8" t="s">
        <v>19</v>
      </c>
    </row>
    <row r="20" spans="1:2" x14ac:dyDescent="0.25">
      <c r="A20" t="s">
        <v>20</v>
      </c>
      <c r="B20" s="10">
        <f>B17+B19*B18</f>
        <v>0.09532004999999999</v>
      </c>
    </row>
    <row r="21" spans="1:3" x14ac:dyDescent="0.25">
      <c r="A21" t="s">
        <v>21</v>
      </c>
      <c r="B21" s="6">
        <v>0.10691986679385831</v>
      </c>
      <c r="C21" s="8" t="s">
        <v>22</v>
      </c>
    </row>
    <row r="22" spans="1:2" x14ac:dyDescent="0.25">
      <c r="A22" t="s">
        <v>23</v>
      </c>
      <c r="B22" s="11">
        <v>61911732224</v>
      </c>
    </row>
    <row r="23" spans="1:2" x14ac:dyDescent="0.25">
      <c r="A23" t="s">
        <v>24</v>
      </c>
      <c r="B23" s="11">
        <v>219941000000</v>
      </c>
    </row>
    <row r="24" spans="1:2" x14ac:dyDescent="0.25">
      <c r="A24" t="s">
        <v>25</v>
      </c>
      <c r="B24" s="10">
        <f>B22/(B22+B23)</f>
        <v>0.21965986185578712</v>
      </c>
    </row>
    <row r="25" spans="1:2" x14ac:dyDescent="0.25">
      <c r="A25" t="s">
        <v>26</v>
      </c>
      <c r="B25" s="10">
        <f>1-B24</f>
        <v>0.7803401381442129</v>
      </c>
    </row>
    <row r="26" spans="1:2" x14ac:dyDescent="0.25">
      <c r="A26" t="s">
        <v>27</v>
      </c>
      <c r="B26" s="12">
        <f>B24*B20+B25*B21*(1-B8)</f>
        <v>0.08772925900578253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29140000000</v>
      </c>
      <c r="C29" s="8" t="s">
        <v>30</v>
      </c>
    </row>
    <row r="30" spans="1:2" x14ac:dyDescent="0.25">
      <c r="A30" t="s">
        <v>31</v>
      </c>
      <c r="B30" s="11">
        <v>-9811000000</v>
      </c>
    </row>
    <row r="31" spans="1:2" x14ac:dyDescent="0.25">
      <c r="A31" t="s">
        <v>32</v>
      </c>
      <c r="B31" s="13">
        <v>14604000000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0.05211116214059963</v>
      </c>
      <c r="C5" s="10">
        <f>Assumptions!B6</f>
        <v>0.05211116214059963</v>
      </c>
      <c r="D5" s="10">
        <f>Assumptions!B6</f>
        <v>0.05211116214059963</v>
      </c>
      <c r="E5" s="10">
        <f>Assumptions!B6</f>
        <v>0.05211116214059963</v>
      </c>
      <c r="F5" s="10">
        <f>Assumptions!B6</f>
        <v>0.05211116214059963</v>
      </c>
    </row>
    <row r="6" spans="1:6" x14ac:dyDescent="0.25">
      <c r="A6" t="s">
        <v>43</v>
      </c>
      <c r="B6" s="18">
        <f>Assumptions!B29*(1+B5)</f>
        <v>30658519264.777073</v>
      </c>
      <c r="C6" s="18">
        <f>B6*(1+C5)</f>
        <v>32256170333.17457</v>
      </c>
      <c r="D6" s="18">
        <f>C6*(1+D5)</f>
        <v>33937076855.44143</v>
      </c>
      <c r="E6" s="18">
        <f>D6*(1+E5)</f>
        <v>35705577370.033325</v>
      </c>
      <c r="F6" s="18">
        <f>E6*(1+F5)</f>
        <v>37566236501.68686</v>
      </c>
    </row>
    <row r="7" spans="1:6" x14ac:dyDescent="0.25">
      <c r="A7" t="s">
        <v>5</v>
      </c>
      <c r="B7" s="10">
        <f>Assumptions!B7</f>
        <v>0.2903231265284215</v>
      </c>
      <c r="C7" s="10">
        <f>Assumptions!B7</f>
        <v>0.2903231265284215</v>
      </c>
      <c r="D7" s="10">
        <f>Assumptions!B7</f>
        <v>0.2903231265284215</v>
      </c>
      <c r="E7" s="10">
        <f>Assumptions!B7</f>
        <v>0.2903231265284215</v>
      </c>
      <c r="F7" s="10">
        <f>Assumptions!B7</f>
        <v>0.2903231265284215</v>
      </c>
    </row>
    <row r="8" spans="1:6" x14ac:dyDescent="0.25">
      <c r="A8" t="s">
        <v>44</v>
      </c>
      <c r="B8" s="18">
        <f>B6*B7</f>
        <v>8900877167.681923</v>
      </c>
      <c r="C8" s="18">
        <f>C6*C7</f>
        <v>9364712220.960556</v>
      </c>
      <c r="D8" s="18">
        <f>D6*D7</f>
        <v>9852718257.907087</v>
      </c>
      <c r="E8" s="18">
        <f>E6*E7</f>
        <v>10366154856.57053</v>
      </c>
      <c r="F8" s="18">
        <f>F6*F7</f>
        <v>10906347233.07584</v>
      </c>
    </row>
    <row r="9" spans="1:6" x14ac:dyDescent="0.25">
      <c r="A9" t="s">
        <v>45</v>
      </c>
      <c r="B9" s="18">
        <f>B8*(1-Assumptions!B8)</f>
        <v>7125414840.40368</v>
      </c>
      <c r="C9" s="18">
        <f>C8*(1-Assumptions!B8)</f>
        <v>7496728488.47099</v>
      </c>
      <c r="D9" s="18">
        <f>D8*(1-Assumptions!B8)</f>
        <v>7887391722.257755</v>
      </c>
      <c r="E9" s="18">
        <f>E8*(1-Assumptions!B8)</f>
        <v>8298412871.162753</v>
      </c>
      <c r="F9" s="18">
        <f>F8*(1-Assumptions!B8)</f>
        <v>8730852809.801554</v>
      </c>
    </row>
    <row r="10" spans="1:6" x14ac:dyDescent="0.25">
      <c r="A10" t="s">
        <v>46</v>
      </c>
      <c r="B10" s="18">
        <f>B6*Assumptions!B9</f>
        <v>2025108190.2478828</v>
      </c>
      <c r="C10" s="18">
        <f>C6*Assumptions!B9</f>
        <v>2130638931.5021465</v>
      </c>
      <c r="D10" s="18">
        <f>D6*Assumptions!B9</f>
        <v>2241669002.324729</v>
      </c>
      <c r="E10" s="18">
        <f>E6*Assumptions!B9</f>
        <v>2358484979.1704288</v>
      </c>
      <c r="F10" s="18">
        <f>F6*Assumptions!B9</f>
        <v>2481388372.326148</v>
      </c>
    </row>
    <row r="11" spans="1:6" x14ac:dyDescent="0.25">
      <c r="A11" t="s">
        <v>47</v>
      </c>
      <c r="B11" s="18">
        <f>-B6*Assumptions!B10</f>
        <v>-2002498798.0746722</v>
      </c>
      <c r="C11" s="18">
        <f>-C6*Assumptions!B10</f>
        <v>-2106851337.6274974</v>
      </c>
      <c r="D11" s="18">
        <f>-D6*Assumptions!B10</f>
        <v>-2216641809.288743</v>
      </c>
      <c r="E11" s="18">
        <f>-E6*Assumptions!B10</f>
        <v>-2332153590.0202208</v>
      </c>
      <c r="F11" s="18">
        <f>-F6*Assumptions!B10</f>
        <v>-2453684823.886546</v>
      </c>
    </row>
    <row r="12" spans="1:6" x14ac:dyDescent="0.25">
      <c r="A12" t="s">
        <v>48</v>
      </c>
      <c r="B12" s="18">
        <f>-(B6-Assumptions!B29)*Assumptions!B11</f>
        <v>-1518519264.777073</v>
      </c>
      <c r="C12" s="18">
        <f>-(C6-B6)*Assumptions!B11</f>
        <v>-1597651068.3974953</v>
      </c>
      <c r="D12" s="18">
        <f>-(D6-C6)*Assumptions!B11</f>
        <v>-1680906522.266861</v>
      </c>
      <c r="E12" s="18">
        <f>-(E6-D6)*Assumptions!B11</f>
        <v>-1768500514.591896</v>
      </c>
      <c r="F12" s="18">
        <f>-(F6-E6)*Assumptions!B11</f>
        <v>-1860659131.653534</v>
      </c>
    </row>
    <row r="13" spans="1:6" x14ac:dyDescent="0.25">
      <c r="A13" s="19" t="s">
        <v>49</v>
      </c>
      <c r="B13" s="20">
        <f>B9+B10+B11+B12</f>
        <v>5629504967.799816</v>
      </c>
      <c r="C13" s="20">
        <f>C9+C10+C11+C12</f>
        <v>5922865013.948144</v>
      </c>
      <c r="D13" s="20">
        <f>D9+D10+D11+D12</f>
        <v>6231512393.026881</v>
      </c>
      <c r="E13" s="20">
        <f>E9+E10+E11+E12</f>
        <v>6556243745.721065</v>
      </c>
      <c r="F13" s="20">
        <f>F9+F10+F11+F12</f>
        <v>6897897226.58762</v>
      </c>
    </row>
    <row r="14" spans="1:6" x14ac:dyDescent="0.25">
      <c r="A14" t="s">
        <v>50</v>
      </c>
      <c r="B14" s="21">
        <f>1/(1+Assumptions!$B$26)^(1-0.5*Assumptions!$B$32)</f>
        <v>0.9588255419103137</v>
      </c>
      <c r="C14" s="21">
        <f>1/(1+Assumptions!$B$26)^(2-0.5*Assumptions!$B$32)</f>
        <v>0.8814928291868414</v>
      </c>
      <c r="D14" s="21">
        <f>1/(1+Assumptions!$B$26)^(3-0.5*Assumptions!$B$32)</f>
        <v>0.8103972766095788</v>
      </c>
      <c r="E14" s="21">
        <f>1/(1+Assumptions!$B$26)^(4-0.5*Assumptions!$B$32)</f>
        <v>0.7450358348825757</v>
      </c>
      <c r="F14" s="21">
        <f>1/(1+Assumptions!$B$26)^(5-0.5*Assumptions!$B$32)</f>
        <v>0.6849460274366079</v>
      </c>
    </row>
    <row r="15" spans="1:6" x14ac:dyDescent="0.25">
      <c r="A15" s="19" t="s">
        <v>51</v>
      </c>
      <c r="B15" s="20">
        <f>B13*B14</f>
        <v>5397713151.437462</v>
      </c>
      <c r="C15" s="20">
        <f>C13*C14</f>
        <v>5220963038.03691</v>
      </c>
      <c r="D15" s="20">
        <f>D13*D14</f>
        <v>5050000672.467824</v>
      </c>
      <c r="E15" s="20">
        <f>E13*E14</f>
        <v>4884636532.786959</v>
      </c>
      <c r="F15" s="20">
        <f>F13*F14</f>
        <v>4724687303.017185</v>
      </c>
    </row>
    <row r="17" spans="1:2" x14ac:dyDescent="0.25">
      <c r="A17" s="22" t="s">
        <v>52</v>
      </c>
      <c r="B17" s="23">
        <f>SUM(B15:F15)</f>
        <v>25278000697.74634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6897897226.58762</v>
      </c>
    </row>
    <row r="5" spans="1:2" x14ac:dyDescent="0.25">
      <c r="A5" t="s">
        <v>56</v>
      </c>
      <c r="B5" s="18">
        <f>IF(Assumptions!$B$33=0,B4,B4-Forecast!F11-Forecast!F10-Forecast!F12)</f>
        <v>8730852809.801554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0.28496764116464457</v>
      </c>
    </row>
    <row r="7" spans="1:2" x14ac:dyDescent="0.25">
      <c r="A7" t="s">
        <v>58</v>
      </c>
      <c r="B7" s="18">
        <f>-MAX(Forecast!F9,0)*B6</f>
        <v>-2488010530.564858</v>
      </c>
    </row>
    <row r="8" spans="1:2" x14ac:dyDescent="0.25">
      <c r="A8" t="s">
        <v>59</v>
      </c>
      <c r="B8" s="18">
        <f>IF(OR(Assumptions!$B$33=0,Assumptions!B12&lt;=0),B5,MAX(B5+B7,0))</f>
        <v>6242842279.236696</v>
      </c>
    </row>
    <row r="9" spans="1:2" x14ac:dyDescent="0.25">
      <c r="A9" t="s">
        <v>60</v>
      </c>
      <c r="B9" s="18">
        <f>B8*(1+Assumptions!B12)/(Assumptions!B26-Assumptions!B12)</f>
        <v>102008431753.1592</v>
      </c>
    </row>
    <row r="10" spans="1:2" x14ac:dyDescent="0.25">
      <c r="A10" t="s">
        <v>61</v>
      </c>
      <c r="B10" s="18">
        <f>B9/(1+Assumptions!B26)^(5-0.5*Assumptions!B32)</f>
        <v>69870270094.36473</v>
      </c>
    </row>
    <row r="11" spans="1:2" x14ac:dyDescent="0.25">
      <c r="A11" t="s">
        <v>62</v>
      </c>
      <c r="B11" s="18">
        <f>Forecast!B17+B10</f>
        <v>95148270792.11107</v>
      </c>
    </row>
    <row r="12" spans="1:2" x14ac:dyDescent="0.25">
      <c r="A12" t="s">
        <v>63</v>
      </c>
      <c r="B12" s="18">
        <f>-Assumptions!B30</f>
        <v>9811000000</v>
      </c>
    </row>
    <row r="13" spans="1:2" x14ac:dyDescent="0.25">
      <c r="A13" t="s">
        <v>64</v>
      </c>
      <c r="B13" s="18">
        <f>B11+B12</f>
        <v>104959270792.11107</v>
      </c>
    </row>
    <row r="14" spans="1:2" x14ac:dyDescent="0.25">
      <c r="A14" s="19" t="s">
        <v>65</v>
      </c>
      <c r="B14" s="24">
        <f>B13/Assumptions!B31</f>
        <v>7.1870221029930885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13387735605.401989</v>
      </c>
    </row>
    <row r="18" spans="1:2" x14ac:dyDescent="0.25">
      <c r="A18" t="s">
        <v>60</v>
      </c>
      <c r="B18" s="18">
        <f>B17*Assumptions!B13</f>
        <v>64021186586.76086</v>
      </c>
    </row>
    <row r="19" spans="1:2" x14ac:dyDescent="0.25">
      <c r="A19" t="s">
        <v>61</v>
      </c>
      <c r="B19" s="18">
        <f>B18/(1+Assumptions!B26)^(5-0.5*Assumptions!B32)</f>
        <v>43851057424.3797</v>
      </c>
    </row>
    <row r="20" spans="1:2" x14ac:dyDescent="0.25">
      <c r="A20" t="s">
        <v>62</v>
      </c>
      <c r="B20" s="18">
        <f>Forecast!B17+B19</f>
        <v>69129058122.12604</v>
      </c>
    </row>
    <row r="21" spans="1:2" x14ac:dyDescent="0.25">
      <c r="A21" t="s">
        <v>63</v>
      </c>
      <c r="B21" s="18">
        <f>-Assumptions!B30</f>
        <v>9811000000</v>
      </c>
    </row>
    <row r="22" spans="1:2" x14ac:dyDescent="0.25">
      <c r="A22" t="s">
        <v>64</v>
      </c>
      <c r="B22" s="18">
        <f>B20+B21</f>
        <v>78940058122.12604</v>
      </c>
    </row>
    <row r="23" spans="1:2" x14ac:dyDescent="0.25">
      <c r="A23" s="19" t="s">
        <v>65</v>
      </c>
      <c r="B23" s="25">
        <f>B22/Assumptions!B31</f>
        <v>5.405372372098468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462.2</v>
      </c>
    </row>
    <row r="27" spans="1:3" x14ac:dyDescent="0.25">
      <c r="A27" t="s">
        <v>70</v>
      </c>
      <c r="B27" s="27">
        <v>100</v>
      </c>
      <c r="C27" s="8" t="s">
        <v>71</v>
      </c>
    </row>
    <row r="28" spans="1:2" x14ac:dyDescent="0.25">
      <c r="A28" t="s">
        <v>72</v>
      </c>
      <c r="B28" s="28">
        <f>B14*B27</f>
        <v>718.7022102993088</v>
      </c>
    </row>
    <row r="29" spans="1:2" x14ac:dyDescent="0.25">
      <c r="A29" s="19" t="s">
        <v>73</v>
      </c>
      <c r="B29" s="12">
        <f>B28/B26-1</f>
        <v>0.5549593472507763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0.067729</v>
      </c>
      <c r="B5" s="31">
        <v>9.154444327758792</v>
      </c>
      <c r="C5" s="31">
        <v>9.187307199360326</v>
      </c>
      <c r="D5" s="31">
        <v>9.220170070961851</v>
      </c>
      <c r="E5" s="31">
        <v>9.253032942563383</v>
      </c>
      <c r="F5" s="31">
        <v>9.285895814164913</v>
      </c>
    </row>
    <row r="6" spans="1:6" x14ac:dyDescent="0.25">
      <c r="A6" s="30">
        <v>0.077729</v>
      </c>
      <c r="B6" s="31">
        <v>8.016292445772159</v>
      </c>
      <c r="C6" s="31">
        <v>8.04375106564351</v>
      </c>
      <c r="D6" s="31">
        <v>8.07120968551486</v>
      </c>
      <c r="E6" s="31">
        <v>8.098668305386212</v>
      </c>
      <c r="F6" s="31">
        <v>8.126126925257564</v>
      </c>
    </row>
    <row r="7" spans="1:6" x14ac:dyDescent="0.25">
      <c r="A7" s="30">
        <v>0.087729</v>
      </c>
      <c r="B7" s="31">
        <v>7.140365836295546</v>
      </c>
      <c r="C7" s="31">
        <v>7.163704096859952</v>
      </c>
      <c r="D7" s="32">
        <v>7.187042357424357</v>
      </c>
      <c r="E7" s="31">
        <v>7.210380617988764</v>
      </c>
      <c r="F7" s="31">
        <v>7.233718878553169</v>
      </c>
    </row>
    <row r="8" spans="1:6" x14ac:dyDescent="0.25">
      <c r="A8" s="30">
        <v>0.097729</v>
      </c>
      <c r="B8" s="31">
        <v>6.446027589478928</v>
      </c>
      <c r="C8" s="31">
        <v>6.466132552214742</v>
      </c>
      <c r="D8" s="31">
        <v>6.486237514950556</v>
      </c>
      <c r="E8" s="31">
        <v>6.50634247768637</v>
      </c>
      <c r="F8" s="31">
        <v>6.526447440422183</v>
      </c>
    </row>
    <row r="9" spans="1:6" x14ac:dyDescent="0.25">
      <c r="A9" s="30">
        <v>0.107729</v>
      </c>
      <c r="B9" s="31">
        <v>5.882589791164407</v>
      </c>
      <c r="C9" s="31">
        <v>5.900099194752401</v>
      </c>
      <c r="D9" s="31">
        <v>5.917608598340393</v>
      </c>
      <c r="E9" s="31">
        <v>5.935118001928386</v>
      </c>
      <c r="F9" s="31">
        <v>5.9526274055163775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29140000000</v>
      </c>
      <c r="C5" s="18">
        <v>26230000000</v>
      </c>
      <c r="D5" s="18">
        <v>25384000000</v>
      </c>
      <c r="E5" s="18">
        <v>25021000000</v>
      </c>
      <c r="F5" s="8" t="s">
        <v>84</v>
      </c>
    </row>
    <row r="6" spans="1:6" x14ac:dyDescent="0.25">
      <c r="A6" t="s">
        <v>44</v>
      </c>
      <c r="B6" s="18">
        <v>9139000000</v>
      </c>
      <c r="C6" s="18">
        <v>8108000000</v>
      </c>
      <c r="D6" s="18">
        <v>6557000000</v>
      </c>
      <c r="E6" s="18">
        <v>7012000000</v>
      </c>
      <c r="F6" s="8" t="s">
        <v>85</v>
      </c>
    </row>
    <row r="7" spans="1:6" x14ac:dyDescent="0.25">
      <c r="A7" t="s">
        <v>86</v>
      </c>
      <c r="B7" s="18">
        <v>1756000000</v>
      </c>
      <c r="C7" s="18">
        <v>1700000000</v>
      </c>
      <c r="D7" s="18">
        <v>1784000000</v>
      </c>
      <c r="E7" s="18">
        <v>1723000000</v>
      </c>
      <c r="F7" s="8" t="s">
        <v>87</v>
      </c>
    </row>
    <row r="8" spans="1:6" x14ac:dyDescent="0.25">
      <c r="A8" t="s">
        <v>88</v>
      </c>
      <c r="B8" s="18">
        <v>1859000000</v>
      </c>
      <c r="C8" s="18">
        <v>1574000000</v>
      </c>
      <c r="D8" s="18">
        <v>1718000000</v>
      </c>
      <c r="E8" s="18">
        <v>1746000000</v>
      </c>
      <c r="F8" s="8" t="s">
        <v>89</v>
      </c>
    </row>
    <row r="9" spans="1:6" x14ac:dyDescent="0.25">
      <c r="A9" t="s">
        <v>90</v>
      </c>
      <c r="B9" s="18">
        <v>61000000</v>
      </c>
      <c r="C9" s="18">
        <v>6332000000</v>
      </c>
      <c r="D9" s="18">
        <v>21898000000</v>
      </c>
      <c r="E9" s="18">
        <v>-32421000000</v>
      </c>
      <c r="F9" s="8" t="s">
        <v>91</v>
      </c>
    </row>
    <row r="10" spans="1:6" x14ac:dyDescent="0.25">
      <c r="A10" t="s">
        <v>92</v>
      </c>
      <c r="B10" s="18">
        <v>219941000000</v>
      </c>
      <c r="C10" s="18">
        <v>185746000000</v>
      </c>
      <c r="D10" s="18">
        <v>176551000000</v>
      </c>
      <c r="E10" s="18">
        <v>183366000000</v>
      </c>
      <c r="F10" s="8" t="s">
        <v>93</v>
      </c>
    </row>
    <row r="11" spans="1:6" x14ac:dyDescent="0.25">
      <c r="A11" t="s">
        <v>94</v>
      </c>
      <c r="B11" s="18">
        <v>229752000000</v>
      </c>
      <c r="C11" s="18">
        <v>210184000000</v>
      </c>
      <c r="D11" s="18">
        <v>224634000000</v>
      </c>
      <c r="E11" s="18">
        <v>256351000000</v>
      </c>
      <c r="F11" s="8" t="s">
        <v>95</v>
      </c>
    </row>
    <row r="12" spans="1:6" x14ac:dyDescent="0.25">
      <c r="A12" t="s">
        <v>32</v>
      </c>
      <c r="B12" s="34">
        <v>14604000000</v>
      </c>
      <c r="C12" s="34">
        <v>15271000000</v>
      </c>
      <c r="D12" s="34">
        <v>15895000000</v>
      </c>
      <c r="E12" s="34">
        <v>16867000000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2026-09-19T01:05:45Z</dcterms:modified>
</cp:coreProperties>
</file>