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<sst xmlns="http://schemas.openxmlformats.org/spreadsheetml/2006/main" count="112" uniqueCount="100">
  <si>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BASF SE (BAS.DE)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</si>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</sst>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-0.11928539893735646</v>
      </c>
    </row>
    <row r="7" spans="1:2" x14ac:dyDescent="0.25">
      <c r="A7" t="s">
        <v>5</v>
      </c>
      <c r="B7" s="6">
        <v>0.056963984096395304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0.06632167437893115</v>
      </c>
    </row>
    <row r="10" spans="1:2" x14ac:dyDescent="0.25">
      <c r="A10" t="s">
        <v>8</v>
      </c>
      <c r="B10" s="6">
        <v>0.07519985026948488</v>
      </c>
    </row>
    <row r="11" spans="1:2" x14ac:dyDescent="0.25">
      <c r="A11" t="s">
        <v>9</v>
      </c>
      <c r="B11" s="6">
        <v>0.13563093622795117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9.235808282379733</v>
      </c>
    </row>
    <row r="14" spans="1:3" x14ac:dyDescent="0.25">
      <c r="A14" t="s">
        <v>12</v>
      </c>
      <c r="B14" s="6">
        <v>0.059858951179812644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0.83183</v>
      </c>
      <c r="C19" s="8" t="s">
        <v>19</v>
      </c>
    </row>
    <row r="20" spans="1:2" x14ac:dyDescent="0.25">
      <c r="A20" t="s">
        <v>20</v>
      </c>
      <c r="B20" s="10">
        <f>B17+B19*B18</f>
        <v>0.0759098</v>
      </c>
    </row>
    <row r="21" spans="1:3" x14ac:dyDescent="0.25">
      <c r="A21" t="s">
        <v>21</v>
      </c>
      <c r="B21" s="6">
        <v>0.04160664350478773</v>
      </c>
      <c r="C21" s="8" t="s">
        <v>22</v>
      </c>
    </row>
    <row r="22" spans="1:2" x14ac:dyDescent="0.25">
      <c r="A22" t="s">
        <v>23</v>
      </c>
      <c r="B22" s="11">
        <v>44440788992</v>
      </c>
    </row>
    <row r="23" spans="1:2" x14ac:dyDescent="0.25">
      <c r="A23" t="s">
        <v>24</v>
      </c>
      <c r="B23" s="11">
        <v>23209000000</v>
      </c>
    </row>
    <row r="24" spans="1:2" x14ac:dyDescent="0.25">
      <c r="A24" t="s">
        <v>25</v>
      </c>
      <c r="B24" s="10">
        <f>B22/(B22+B23)</f>
        <v>0.6569242809797292</v>
      </c>
    </row>
    <row r="25" spans="1:2" x14ac:dyDescent="0.25">
      <c r="A25" t="s">
        <v>26</v>
      </c>
      <c r="B25" s="10">
        <f>1-B24</f>
        <v>0.3430757190202708</v>
      </c>
    </row>
    <row r="26" spans="1:2" x14ac:dyDescent="0.25">
      <c r="A26" t="s">
        <v>27</v>
      </c>
      <c r="B26" s="12">
        <f>B24*B20+B25*B21*(1-B8)</f>
        <v>0.059858951179812644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59656000000</v>
      </c>
      <c r="C29" s="8" t="s">
        <v>30</v>
      </c>
    </row>
    <row r="30" spans="1:2" x14ac:dyDescent="0.25">
      <c r="A30" t="s">
        <v>31</v>
      </c>
      <c r="B30" s="11">
        <v>20450000000</v>
      </c>
    </row>
    <row r="31" spans="1:2" x14ac:dyDescent="0.25">
      <c r="A31" t="s">
        <v>32</v>
      </c>
      <c r="B31" s="13">
        <v>894057000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-0.11928539893735646</v>
      </c>
      <c r="C5" s="10">
        <f>Assumptions!B6</f>
        <v>-0.11928539893735646</v>
      </c>
      <c r="D5" s="10">
        <f>Assumptions!B6</f>
        <v>-0.11928539893735646</v>
      </c>
      <c r="E5" s="10">
        <f>Assumptions!B6</f>
        <v>-0.11928539893735646</v>
      </c>
      <c r="F5" s="10">
        <f>Assumptions!B6</f>
        <v>-0.11928539893735646</v>
      </c>
    </row>
    <row r="6" spans="1:6" x14ac:dyDescent="0.25">
      <c r="A6" t="s">
        <v>43</v>
      </c>
      <c r="B6" s="18">
        <f>Assumptions!B29*(1+B5)</f>
        <v>52539910240.993065</v>
      </c>
      <c r="C6" s="18">
        <f>B6*(1+C5)</f>
        <v>46272666087.763306</v>
      </c>
      <c r="D6" s="18">
        <f>C6*(1+D5)</f>
        <v>40753012653.58937</v>
      </c>
      <c r="E6" s="18">
        <f>D6*(1+E5)</f>
        <v>35891773281.30682</v>
      </c>
      <c r="F6" s="18">
        <f>E6*(1+F5)</f>
        <v>31610408786.876987</v>
      </c>
    </row>
    <row r="7" spans="1:6" x14ac:dyDescent="0.25">
      <c r="A7" t="s">
        <v>5</v>
      </c>
      <c r="B7" s="10">
        <f>Assumptions!B7</f>
        <v>0.056963984096395304</v>
      </c>
      <c r="C7" s="10">
        <f>Assumptions!B7</f>
        <v>0.056963984096395304</v>
      </c>
      <c r="D7" s="10">
        <f>Assumptions!B7</f>
        <v>0.056963984096395304</v>
      </c>
      <c r="E7" s="10">
        <f>Assumptions!B7</f>
        <v>0.056963984096395304</v>
      </c>
      <c r="F7" s="10">
        <f>Assumptions!B7</f>
        <v>0.056963984096395304</v>
      </c>
    </row>
    <row r="8" spans="1:6" x14ac:dyDescent="0.25">
      <c r="A8" t="s">
        <v>44</v>
      </c>
      <c r="B8" s="18">
        <f>B6*B7</f>
        <v>2992882611.3939657</v>
      </c>
      <c r="C8" s="18">
        <f>C6*C7</f>
        <v>2635875415.121159</v>
      </c>
      <c r="D8" s="18">
        <f>D6*D7</f>
        <v>2321453964.6792617</v>
      </c>
      <c r="E8" s="18">
        <f>E6*E7</f>
        <v>2044538402.3877878</v>
      </c>
      <c r="F8" s="18">
        <f>F6*F7</f>
        <v>1800654823.4162152</v>
      </c>
    </row>
    <row r="9" spans="1:6" x14ac:dyDescent="0.25">
      <c r="A9" t="s">
        <v>45</v>
      </c>
      <c r="B9" s="18">
        <f>B8*(1-Assumptions!B8)</f>
        <v>2095017827.975776</v>
      </c>
      <c r="C9" s="18">
        <f>C8*(1-Assumptions!B8)</f>
        <v>1845112790.5848112</v>
      </c>
      <c r="D9" s="18">
        <f>D8*(1-Assumptions!B8)</f>
        <v>1625017775.2754831</v>
      </c>
      <c r="E9" s="18">
        <f>E8*(1-Assumptions!B8)</f>
        <v>1431176881.6714513</v>
      </c>
      <c r="F9" s="18">
        <f>F8*(1-Assumptions!B8)</f>
        <v>1260458376.3913505</v>
      </c>
    </row>
    <row r="10" spans="1:6" x14ac:dyDescent="0.25">
      <c r="A10" t="s">
        <v>46</v>
      </c>
      <c r="B10" s="18">
        <f>B6*Assumptions!B9</f>
        <v>3484534818.901412</v>
      </c>
      <c r="C10" s="18">
        <f>C6*Assumptions!B9</f>
        <v>3068880692.917648</v>
      </c>
      <c r="D10" s="18">
        <f>D6*Assumptions!B9</f>
        <v>2702808035.171815</v>
      </c>
      <c r="E10" s="18">
        <f>E6*Assumptions!B9</f>
        <v>2380402500.4452524</v>
      </c>
      <c r="F10" s="18">
        <f>F6*Assumptions!B9</f>
        <v>2096455238.5481596</v>
      </c>
    </row>
    <row r="11" spans="1:6" x14ac:dyDescent="0.25">
      <c r="A11" t="s">
        <v>47</v>
      </c>
      <c r="B11" s="18">
        <f>-B6*Assumptions!B10</f>
        <v>-3950993383.2948537</v>
      </c>
      <c r="C11" s="18">
        <f>-C6*Assumptions!B10</f>
        <v>-3479697561.3696713</v>
      </c>
      <c r="D11" s="18">
        <f>-D6*Assumptions!B10</f>
        <v>-3064620449.5803432</v>
      </c>
      <c r="E11" s="18">
        <f>-E6*Assumptions!B10</f>
        <v>-2699055976.660571</v>
      </c>
      <c r="F11" s="18">
        <f>-F6*Assumptions!B10</f>
        <v>-2377098007.7303586</v>
      </c>
    </row>
    <row r="12" spans="1:6" x14ac:dyDescent="0.25">
      <c r="A12" t="s">
        <v>48</v>
      </c>
      <c r="B12" s="18">
        <f>-(B6-Assumptions!B29)*Assumptions!B11</f>
        <v>965161916.296246</v>
      </c>
      <c r="C12" s="18">
        <f>-(C6-B6)*Assumptions!B11</f>
        <v>850032192.0717052</v>
      </c>
      <c r="D12" s="18">
        <f>-(D6-C6)*Assumptions!B11</f>
        <v>748635762.9308366</v>
      </c>
      <c r="E12" s="18">
        <f>-(E6-D6)*Assumptions!B11</f>
        <v>659334447.2908595</v>
      </c>
      <c r="F12" s="18">
        <f>-(F6-E6)*Assumptions!B11</f>
        <v>580685474.7126275</v>
      </c>
    </row>
    <row r="13" spans="1:6" x14ac:dyDescent="0.25">
      <c r="A13" s="19" t="s">
        <v>49</v>
      </c>
      <c r="B13" s="20">
        <f>B9+B10+B11+B12</f>
        <v>2593721179.87858</v>
      </c>
      <c r="C13" s="20">
        <f>C9+C10+C11+C12</f>
        <v>2284328114.2044926</v>
      </c>
      <c r="D13" s="20">
        <f>D9+D10+D11+D12</f>
        <v>2011841123.7977915</v>
      </c>
      <c r="E13" s="20">
        <f>E9+E10+E11+E12</f>
        <v>1771857852.7469923</v>
      </c>
      <c r="F13" s="20">
        <f>F9+F10+F11+F12</f>
        <v>1560501081.9217792</v>
      </c>
    </row>
    <row r="14" spans="1:6" x14ac:dyDescent="0.25">
      <c r="A14" t="s">
        <v>50</v>
      </c>
      <c r="B14" s="21">
        <f>1/(1+Assumptions!$B$26)^(1-0.5*Assumptions!$B$32)</f>
        <v>0.9713504908472453</v>
      </c>
      <c r="C14" s="21">
        <f>1/(1+Assumptions!$B$26)^(2-0.5*Assumptions!$B$32)</f>
        <v>0.9164903403098672</v>
      </c>
      <c r="D14" s="21">
        <f>1/(1+Assumptions!$B$26)^(3-0.5*Assumptions!$B$32)</f>
        <v>0.8647285936394172</v>
      </c>
      <c r="E14" s="21">
        <f>1/(1+Assumptions!$B$26)^(4-0.5*Assumptions!$B$32)</f>
        <v>0.8158902584884711</v>
      </c>
      <c r="F14" s="21">
        <f>1/(1+Assumptions!$B$26)^(5-0.5*Assumptions!$B$32)</f>
        <v>0.7698102257665883</v>
      </c>
    </row>
    <row r="15" spans="1:6" x14ac:dyDescent="0.25">
      <c r="A15" s="19" t="s">
        <v>51</v>
      </c>
      <c r="B15" s="20">
        <f>B13*B14</f>
        <v>2519412341.1959553</v>
      </c>
      <c r="C15" s="20">
        <f>C13*C14</f>
        <v>2093564650.7666726</v>
      </c>
      <c r="D15" s="20">
        <f>D13*D14</f>
        <v>1739696545.607609</v>
      </c>
      <c r="E15" s="20">
        <f>E13*E14</f>
        <v>1445641561.482571</v>
      </c>
      <c r="F15" s="20">
        <f>F13*F14</f>
        <v>1201289690.1832101</v>
      </c>
    </row>
    <row r="17" spans="1:2" x14ac:dyDescent="0.25">
      <c r="A17" s="22" t="s">
        <v>52</v>
      </c>
      <c r="B17" s="23">
        <f>SUM(B15:F15)</f>
        <v>8999604789.236017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1560501081.9217792</v>
      </c>
    </row>
    <row r="5" spans="1:2" x14ac:dyDescent="0.25">
      <c r="A5" t="s">
        <v>56</v>
      </c>
      <c r="B5" s="18">
        <f>IF(Assumptions!$B$33=0,B4,B4-Forecast!F11-Forecast!F10-Forecast!F12)</f>
        <v>1260458376.3913505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0.41764848042361324</v>
      </c>
    </row>
    <row r="7" spans="1:2" x14ac:dyDescent="0.25">
      <c r="A7" t="s">
        <v>58</v>
      </c>
      <c r="B7" s="18">
        <f>-MAX(Forecast!F9,0)*B6</f>
        <v>-526428525.5370623</v>
      </c>
    </row>
    <row r="8" spans="1:2" x14ac:dyDescent="0.25">
      <c r="A8" t="s">
        <v>59</v>
      </c>
      <c r="B8" s="18">
        <f>IF(OR(Assumptions!$B$33=0,Assumptions!B12&lt;=0),B5,MAX(B5+B7,0))</f>
        <v>734029850.8542882</v>
      </c>
    </row>
    <row r="9" spans="1:2" x14ac:dyDescent="0.25">
      <c r="A9" t="s">
        <v>60</v>
      </c>
      <c r="B9" s="18">
        <f>B8*(1+Assumptions!B12)/(Assumptions!B26-Assumptions!B12)</f>
        <v>21583569547.01955</v>
      </c>
    </row>
    <row r="10" spans="1:2" x14ac:dyDescent="0.25">
      <c r="A10" t="s">
        <v>61</v>
      </c>
      <c r="B10" s="18">
        <f>B9/(1+Assumptions!B26)^(5-0.5*Assumptions!B32)</f>
        <v>16615252545.839981</v>
      </c>
    </row>
    <row r="11" spans="1:2" x14ac:dyDescent="0.25">
      <c r="A11" t="s">
        <v>62</v>
      </c>
      <c r="B11" s="18">
        <f>Forecast!B17+B10</f>
        <v>25614857335.075996</v>
      </c>
    </row>
    <row r="12" spans="1:2" x14ac:dyDescent="0.25">
      <c r="A12" t="s">
        <v>63</v>
      </c>
      <c r="B12" s="18">
        <f>-Assumptions!B30</f>
        <v>-20450000000</v>
      </c>
    </row>
    <row r="13" spans="1:2" x14ac:dyDescent="0.25">
      <c r="A13" t="s">
        <v>64</v>
      </c>
      <c r="B13" s="18">
        <f>B11+B12</f>
        <v>5164857335.075996</v>
      </c>
    </row>
    <row r="14" spans="1:2" x14ac:dyDescent="0.25">
      <c r="A14" s="19" t="s">
        <v>65</v>
      </c>
      <c r="B14" s="24">
        <f>B13/Assumptions!B31</f>
        <v>5.776877016874759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3897110061.9643745</v>
      </c>
    </row>
    <row r="18" spans="1:2" x14ac:dyDescent="0.25">
      <c r="A18" t="s">
        <v>60</v>
      </c>
      <c r="B18" s="18">
        <f>B17*Assumptions!B13</f>
        <v>35992961387.63596</v>
      </c>
    </row>
    <row r="19" spans="1:2" x14ac:dyDescent="0.25">
      <c r="A19" t="s">
        <v>61</v>
      </c>
      <c r="B19" s="18">
        <f>B18/(1+Assumptions!B26)^(5-0.5*Assumptions!B32)</f>
        <v>27707749731.824135</v>
      </c>
    </row>
    <row r="20" spans="1:2" x14ac:dyDescent="0.25">
      <c r="A20" t="s">
        <v>62</v>
      </c>
      <c r="B20" s="18">
        <f>Forecast!B17+B19</f>
        <v>36707354521.06015</v>
      </c>
    </row>
    <row r="21" spans="1:2" x14ac:dyDescent="0.25">
      <c r="A21" t="s">
        <v>63</v>
      </c>
      <c r="B21" s="18">
        <f>-Assumptions!B30</f>
        <v>-20450000000</v>
      </c>
    </row>
    <row r="22" spans="1:2" x14ac:dyDescent="0.25">
      <c r="A22" t="s">
        <v>64</v>
      </c>
      <c r="B22" s="18">
        <f>B20+B21</f>
        <v>16257354521.06015</v>
      </c>
    </row>
    <row r="23" spans="1:2" x14ac:dyDescent="0.25">
      <c r="A23" s="19" t="s">
        <v>65</v>
      </c>
      <c r="B23" s="25">
        <f>B22/Assumptions!B31</f>
        <v>18.183800944526077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51.62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5.776877016874759</v>
      </c>
    </row>
    <row r="29" spans="1:2" x14ac:dyDescent="0.25">
      <c r="A29" s="19" t="s">
        <v>73</v>
      </c>
      <c r="B29" s="12">
        <f>B28/B26-1</f>
        <v>-0.8880883956436505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0.039859</v>
      </c>
      <c r="B5" s="31">
        <v>17.724789319326952</v>
      </c>
      <c r="C5" s="31">
        <v>17.873116881512228</v>
      </c>
      <c r="D5" s="31">
        <v>18.0214444436975</v>
      </c>
      <c r="E5" s="31">
        <v>18.169772005882766</v>
      </c>
      <c r="F5" s="31">
        <v>18.31809956806803</v>
      </c>
    </row>
    <row r="6" spans="1:6" x14ac:dyDescent="0.25">
      <c r="A6" s="30">
        <v>0.049859</v>
      </c>
      <c r="B6" s="31">
        <v>10.456129442071525</v>
      </c>
      <c r="C6" s="31">
        <v>10.569709046337358</v>
      </c>
      <c r="D6" s="31">
        <v>10.683288650603185</v>
      </c>
      <c r="E6" s="31">
        <v>10.796868254869006</v>
      </c>
      <c r="F6" s="31">
        <v>10.910447859134834</v>
      </c>
    </row>
    <row r="7" spans="1:6" x14ac:dyDescent="0.25">
      <c r="A7" s="30">
        <v>0.059859</v>
      </c>
      <c r="B7" s="31">
        <v>5.5955488248759595</v>
      </c>
      <c r="C7" s="31">
        <v>5.686202921331962</v>
      </c>
      <c r="D7" s="32">
        <v>5.776857017787958</v>
      </c>
      <c r="E7" s="31">
        <v>5.867511114243956</v>
      </c>
      <c r="F7" s="31">
        <v>5.958165210699958</v>
      </c>
    </row>
    <row r="8" spans="1:6" x14ac:dyDescent="0.25">
      <c r="A8" s="30">
        <v>0.069859</v>
      </c>
      <c r="B8" s="31">
        <v>2.1098024480173843</v>
      </c>
      <c r="C8" s="31">
        <v>2.1842656128342637</v>
      </c>
      <c r="D8" s="31">
        <v>2.2587287776511435</v>
      </c>
      <c r="E8" s="31">
        <v>2.3331919424680234</v>
      </c>
      <c r="F8" s="31">
        <v>2.407655107284899</v>
      </c>
    </row>
    <row r="9" spans="1:6" x14ac:dyDescent="0.25">
      <c r="A9" s="30">
        <v>0.079859</v>
      </c>
      <c r="B9" s="31">
        <v>-0.5168669777842768</v>
      </c>
      <c r="C9" s="31">
        <v>-0.4543989632645247</v>
      </c>
      <c r="D9" s="31">
        <v>-0.3919309487447812</v>
      </c>
      <c r="E9" s="31">
        <v>-0.32946293422502915</v>
      </c>
      <c r="F9" s="31">
        <v>-0.2669949197052856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59656000000</v>
      </c>
      <c r="C5" s="18">
        <v>61443000000</v>
      </c>
      <c r="D5" s="18">
        <v>68902000000</v>
      </c>
      <c r="E5" s="18">
        <v>87327000000</v>
      </c>
      <c r="F5" s="8" t="s">
        <v>84</v>
      </c>
    </row>
    <row r="6" spans="1:6" x14ac:dyDescent="0.25">
      <c r="A6" t="s">
        <v>44</v>
      </c>
      <c r="B6" s="18">
        <v>2860000000</v>
      </c>
      <c r="C6" s="18">
        <v>2970000000</v>
      </c>
      <c r="D6" s="18">
        <v>3258000000</v>
      </c>
      <c r="E6" s="18">
        <v>7361000000</v>
      </c>
      <c r="F6" s="8" t="s">
        <v>85</v>
      </c>
    </row>
    <row r="7" spans="1:6" x14ac:dyDescent="0.25">
      <c r="A7" t="s">
        <v>86</v>
      </c>
      <c r="B7" s="18">
        <v>4166000000</v>
      </c>
      <c r="C7" s="18">
        <v>4648000000</v>
      </c>
      <c r="D7" s="18">
        <v>4941000000</v>
      </c>
      <c r="E7" s="18">
        <v>4200000000</v>
      </c>
      <c r="F7" s="8" t="s">
        <v>87</v>
      </c>
    </row>
    <row r="8" spans="1:6" x14ac:dyDescent="0.25">
      <c r="A8" t="s">
        <v>88</v>
      </c>
      <c r="B8" s="18">
        <v>4267000000</v>
      </c>
      <c r="C8" s="18">
        <v>6198000000</v>
      </c>
      <c r="D8" s="18">
        <v>5395000000</v>
      </c>
      <c r="E8" s="18">
        <v>4375000000</v>
      </c>
      <c r="F8" s="8" t="s">
        <v>89</v>
      </c>
    </row>
    <row r="9" spans="1:6" x14ac:dyDescent="0.25">
      <c r="A9" t="s">
        <v>90</v>
      </c>
      <c r="B9" s="18">
        <v>-621000000</v>
      </c>
      <c r="C9" s="18">
        <v>-871000000</v>
      </c>
      <c r="D9" s="18">
        <v>-2499000000</v>
      </c>
      <c r="E9" s="18">
        <v>2050000000</v>
      </c>
      <c r="F9" s="8" t="s">
        <v>91</v>
      </c>
    </row>
    <row r="10" spans="1:6" x14ac:dyDescent="0.25">
      <c r="A10" t="s">
        <v>92</v>
      </c>
      <c r="B10" s="18">
        <v>23209000000</v>
      </c>
      <c r="C10" s="18">
        <v>23995000000</v>
      </c>
      <c r="D10" s="18">
        <v>21347000000</v>
      </c>
      <c r="E10" s="18">
        <v>20949000000</v>
      </c>
      <c r="F10" s="8" t="s">
        <v>93</v>
      </c>
    </row>
    <row r="11" spans="1:6" x14ac:dyDescent="0.25">
      <c r="A11" t="s">
        <v>94</v>
      </c>
      <c r="B11" s="18">
        <v>2759000000</v>
      </c>
      <c r="C11" s="18">
        <v>2981000000</v>
      </c>
      <c r="D11" s="18">
        <v>2677000000</v>
      </c>
      <c r="E11" s="18">
        <v>2748000000</v>
      </c>
      <c r="F11" s="8" t="s">
        <v>95</v>
      </c>
    </row>
    <row r="12" spans="1:6" x14ac:dyDescent="0.25">
      <c r="A12" t="s">
        <v>32</v>
      </c>
      <c r="B12" s="34">
        <v>894057000</v>
      </c>
      <c r="C12" s="34">
        <v>894971000</v>
      </c>
      <c r="D12" s="34">
        <v>895077000</v>
      </c>
      <c r="E12" s="34">
        <v>903327000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2026-09-19T00:07:14Z</dcterms:modified>
</cp:coreProperties>
</file>