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<sst xmlns="http://schemas.openxmlformats.org/spreadsheetml/2006/main" count="112" uniqueCount="100">
  <si>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British American Tobacco p.l.c. (BATS.L)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</si>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</sst>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-0.025282780251305703</v>
      </c>
    </row>
    <row r="7" spans="1:2" x14ac:dyDescent="0.25">
      <c r="A7" t="s">
        <v>5</v>
      </c>
      <c r="B7" s="6">
        <v>0.2674708614895514</v>
      </c>
    </row>
    <row r="8" spans="1:2" x14ac:dyDescent="0.25">
      <c r="A8" t="s">
        <v>6</v>
      </c>
      <c r="B8" s="6">
        <v>0.21239476620346892</v>
      </c>
    </row>
    <row r="9" spans="1:2" x14ac:dyDescent="0.25">
      <c r="A9" t="s">
        <v>7</v>
      </c>
      <c r="B9" s="6">
        <v>0.28346731147980714</v>
      </c>
    </row>
    <row r="10" spans="1:2" x14ac:dyDescent="0.25">
      <c r="A10" t="s">
        <v>8</v>
      </c>
      <c r="B10" s="6">
        <v>0.024185832300698318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8.75119807251059</v>
      </c>
    </row>
    <row r="14" spans="1:3" x14ac:dyDescent="0.25">
      <c r="A14" t="s">
        <v>12</v>
      </c>
      <c r="B14" s="6">
        <v>0.09737008709606682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0.40637999999999996</v>
      </c>
      <c r="C19" s="8" t="s">
        <v>19</v>
      </c>
    </row>
    <row r="20" spans="1:2" x14ac:dyDescent="0.25">
      <c r="A20" t="s">
        <v>20</v>
      </c>
      <c r="B20" s="10">
        <f>B17+B19*B18</f>
        <v>0.06735089999999999</v>
      </c>
    </row>
    <row r="21" spans="1:3" x14ac:dyDescent="0.25">
      <c r="A21" t="s">
        <v>21</v>
      </c>
      <c r="B21" s="6">
        <v>0.05351291307970008</v>
      </c>
      <c r="C21" s="8" t="s">
        <v>22</v>
      </c>
    </row>
    <row r="22" spans="1:2" x14ac:dyDescent="0.25">
      <c r="A22" t="s">
        <v>23</v>
      </c>
      <c r="B22" s="11">
        <v>90333437952</v>
      </c>
    </row>
    <row r="23" spans="1:2" x14ac:dyDescent="0.25">
      <c r="A23" t="s">
        <v>24</v>
      </c>
      <c r="B23" s="11">
        <v>35070000000</v>
      </c>
    </row>
    <row r="24" spans="1:2" x14ac:dyDescent="0.25">
      <c r="A24" t="s">
        <v>25</v>
      </c>
      <c r="B24" s="10">
        <f>B22/(B22+B23)</f>
        <v>0.7203425952849589</v>
      </c>
    </row>
    <row r="25" spans="1:2" x14ac:dyDescent="0.25">
      <c r="A25" t="s">
        <v>26</v>
      </c>
      <c r="B25" s="10">
        <f>1-B24</f>
        <v>0.2796574047150411</v>
      </c>
    </row>
    <row r="26" spans="1:2" x14ac:dyDescent="0.25">
      <c r="A26" t="s">
        <v>27</v>
      </c>
      <c r="B26" s="12">
        <f>B24*B20+B25*B21*(1-B8)</f>
        <v>0.06030245683686562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25610000000</v>
      </c>
      <c r="C29" s="8" t="s">
        <v>30</v>
      </c>
    </row>
    <row r="30" spans="1:2" x14ac:dyDescent="0.25">
      <c r="A30" t="s">
        <v>31</v>
      </c>
      <c r="B30" s="11">
        <v>31562000000</v>
      </c>
    </row>
    <row r="31" spans="1:2" x14ac:dyDescent="0.25">
      <c r="A31" t="s">
        <v>32</v>
      </c>
      <c r="B31" s="13">
        <v>2199000000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-0.025282780251305703</v>
      </c>
      <c r="C5" s="10">
        <f>Assumptions!B6</f>
        <v>-0.025282780251305703</v>
      </c>
      <c r="D5" s="10">
        <f>Assumptions!B6</f>
        <v>-0.025282780251305703</v>
      </c>
      <c r="E5" s="10">
        <f>Assumptions!B6</f>
        <v>-0.025282780251305703</v>
      </c>
      <c r="F5" s="10">
        <f>Assumptions!B6</f>
        <v>-0.025282780251305703</v>
      </c>
    </row>
    <row r="6" spans="1:6" x14ac:dyDescent="0.25">
      <c r="A6" t="s">
        <v>43</v>
      </c>
      <c r="B6" s="18">
        <f>Assumptions!B29*(1+B5)</f>
        <v>24962507997.76406</v>
      </c>
      <c r="C6" s="18">
        <f>B6*(1+C5)</f>
        <v>24331386393.53513</v>
      </c>
      <c r="D6" s="18">
        <f>C6*(1+D5)</f>
        <v>23716221298.13777</v>
      </c>
      <c r="E6" s="18">
        <f>D6*(1+E5)</f>
        <v>23116609286.66562</v>
      </c>
      <c r="F6" s="18">
        <f>E6*(1+F5)</f>
        <v>22532157133.915558</v>
      </c>
    </row>
    <row r="7" spans="1:6" x14ac:dyDescent="0.25">
      <c r="A7" t="s">
        <v>5</v>
      </c>
      <c r="B7" s="10">
        <f>Assumptions!B7</f>
        <v>0.2674708614895514</v>
      </c>
      <c r="C7" s="10">
        <f>Assumptions!B7</f>
        <v>0.2674708614895514</v>
      </c>
      <c r="D7" s="10">
        <f>Assumptions!B7</f>
        <v>0.2674708614895514</v>
      </c>
      <c r="E7" s="10">
        <f>Assumptions!B7</f>
        <v>0.2674708614895514</v>
      </c>
      <c r="F7" s="10">
        <f>Assumptions!B7</f>
        <v>0.2674708614895514</v>
      </c>
    </row>
    <row r="8" spans="1:6" x14ac:dyDescent="0.25">
      <c r="A8" t="s">
        <v>44</v>
      </c>
      <c r="B8" s="18">
        <f>B6*B7</f>
        <v>6676743519.10177</v>
      </c>
      <c r="C8" s="18">
        <f>C6*C7</f>
        <v>6507936879.91399</v>
      </c>
      <c r="D8" s="18">
        <f>D6*D7</f>
        <v>6343398141.889757</v>
      </c>
      <c r="E8" s="18">
        <f>E6*E7</f>
        <v>6183019400.621818</v>
      </c>
      <c r="F8" s="18">
        <f>F6*F7</f>
        <v>6026695479.826336</v>
      </c>
    </row>
    <row r="9" spans="1:6" x14ac:dyDescent="0.25">
      <c r="A9" t="s">
        <v>45</v>
      </c>
      <c r="B9" s="18">
        <f>B8*(1-Assumptions!B8)</f>
        <v>5258638140.361624</v>
      </c>
      <c r="C9" s="18">
        <f>C8*(1-Assumptions!B8)</f>
        <v>5125685147.837726</v>
      </c>
      <c r="D9" s="18">
        <f>D8*(1-Assumptions!B8)</f>
        <v>4996093576.607563</v>
      </c>
      <c r="E9" s="18">
        <f>E8*(1-Assumptions!B8)</f>
        <v>4869778440.595235</v>
      </c>
      <c r="F9" s="18">
        <f>F8*(1-Assumptions!B8)</f>
        <v>4746656902.409119</v>
      </c>
    </row>
    <row r="10" spans="1:6" x14ac:dyDescent="0.25">
      <c r="A10" t="s">
        <v>46</v>
      </c>
      <c r="B10" s="18">
        <f>B6*Assumptions!B9</f>
        <v>7076055029.919362</v>
      </c>
      <c r="C10" s="18">
        <f>C6*Assumptions!B9</f>
        <v>6897152685.551764</v>
      </c>
      <c r="D10" s="18">
        <f>D6*Assumptions!B9</f>
        <v>6722773489.843256</v>
      </c>
      <c r="E10" s="18">
        <f>E6*Assumptions!B9</f>
        <v>6552803085.020246</v>
      </c>
      <c r="F10" s="18">
        <f>F6*Assumptions!B9</f>
        <v>6387130004.591599</v>
      </c>
    </row>
    <row r="11" spans="1:6" x14ac:dyDescent="0.25">
      <c r="A11" t="s">
        <v>47</v>
      </c>
      <c r="B11" s="18">
        <f>-B6*Assumptions!B10</f>
        <v>-603739032.2387621</v>
      </c>
      <c r="C11" s="18">
        <f>-C6*Assumptions!B10</f>
        <v>-588474830.9575335</v>
      </c>
      <c r="D11" s="18">
        <f>-D6*Assumptions!B10</f>
        <v>-573596551.1230099</v>
      </c>
      <c r="E11" s="18">
        <f>-E6*Assumptions!B10</f>
        <v>-559094435.56806</v>
      </c>
      <c r="F11" s="18">
        <f>-F6*Assumptions!B10</f>
        <v>-544958973.813865</v>
      </c>
    </row>
    <row r="12" spans="1:6" x14ac:dyDescent="0.25">
      <c r="A12" t="s">
        <v>48</v>
      </c>
      <c r="B12" s="18">
        <f>-(B6-Assumptions!B29)*Assumptions!B11</f>
        <v>-647492002.235939</v>
      </c>
      <c r="C12" s="18">
        <f>-(C6-B6)*Assumptions!B11</f>
        <v>-631121604.2289314</v>
      </c>
      <c r="D12" s="18">
        <f>-(D6-C6)*Assumptions!B11</f>
        <v>-615165095.397358</v>
      </c>
      <c r="E12" s="18">
        <f>-(E6-D6)*Assumptions!B11</f>
        <v>-599612011.4721527</v>
      </c>
      <c r="F12" s="18">
        <f>-(F6-E6)*Assumptions!B11</f>
        <v>-584452152.750061</v>
      </c>
    </row>
    <row r="13" spans="1:6" x14ac:dyDescent="0.25">
      <c r="A13" s="19" t="s">
        <v>49</v>
      </c>
      <c r="B13" s="20">
        <f>B9+B10+B11+B12</f>
        <v>11083462135.806286</v>
      </c>
      <c r="C13" s="20">
        <f>C9+C10+C11+C12</f>
        <v>10803241398.203024</v>
      </c>
      <c r="D13" s="20">
        <f>D9+D10+D11+D12</f>
        <v>10530105419.93045</v>
      </c>
      <c r="E13" s="20">
        <f>E9+E10+E11+E12</f>
        <v>10263875078.575268</v>
      </c>
      <c r="F13" s="20">
        <f>F9+F10+F11+F12</f>
        <v>10004375780.43679</v>
      </c>
    </row>
    <row r="14" spans="1:6" x14ac:dyDescent="0.25">
      <c r="A14" t="s">
        <v>50</v>
      </c>
      <c r="B14" s="21">
        <f>1/(1+Assumptions!$B$26)^(1-0.5*Assumptions!$B$32)</f>
        <v>0.9711473202833873</v>
      </c>
      <c r="C14" s="21">
        <f>1/(1+Assumptions!$B$26)^(2-0.5*Assumptions!$B$32)</f>
        <v>0.9159153730347384</v>
      </c>
      <c r="D14" s="21">
        <f>1/(1+Assumptions!$B$26)^(3-0.5*Assumptions!$B$32)</f>
        <v>0.863824625821515</v>
      </c>
      <c r="E14" s="21">
        <f>1/(1+Assumptions!$B$26)^(4-0.5*Assumptions!$B$32)</f>
        <v>0.8146964295438014</v>
      </c>
      <c r="F14" s="21">
        <f>1/(1+Assumptions!$B$26)^(5-0.5*Assumptions!$B$32)</f>
        <v>0.7683622953909158</v>
      </c>
    </row>
    <row r="15" spans="1:6" x14ac:dyDescent="0.25">
      <c r="A15" s="19" t="s">
        <v>51</v>
      </c>
      <c r="B15" s="20">
        <f>B13*B14</f>
        <v>10763674552.650663</v>
      </c>
      <c r="C15" s="20">
        <f>C13*C14</f>
        <v>9894854875.219452</v>
      </c>
      <c r="D15" s="20">
        <f>D13*D14</f>
        <v>9096164374.232529</v>
      </c>
      <c r="E15" s="20">
        <f>E13*E14</f>
        <v>8361942379.798875</v>
      </c>
      <c r="F15" s="20">
        <f>F13*F14</f>
        <v>7686985138.609697</v>
      </c>
    </row>
    <row r="17" spans="1:2" x14ac:dyDescent="0.25">
      <c r="A17" s="22" t="s">
        <v>52</v>
      </c>
      <c r="B17" s="23">
        <f>SUM(B15:F15)</f>
        <v>45803621320.511215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10004375780.43679</v>
      </c>
    </row>
    <row r="5" spans="1:2" x14ac:dyDescent="0.25">
      <c r="A5" t="s">
        <v>56</v>
      </c>
      <c r="B5" s="18">
        <f>IF(Assumptions!$B$33=0,B4,B4-Forecast!F11-Forecast!F10-Forecast!F12)</f>
        <v>9333757480.48043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0.256752363539889</v>
      </c>
    </row>
    <row r="7" spans="1:2" x14ac:dyDescent="0.25">
      <c r="A7" t="s">
        <v>58</v>
      </c>
      <c r="B7" s="18">
        <f>-MAX(Forecast!F9,0)*B6</f>
        <v>-2396464293.82147</v>
      </c>
    </row>
    <row r="8" spans="1:2" x14ac:dyDescent="0.25">
      <c r="A8" t="s">
        <v>59</v>
      </c>
      <c r="B8" s="18">
        <f>IF(OR(Assumptions!$B$33=0,Assumptions!B12&lt;=0),B5,MAX(B5+B7,0))</f>
        <v>6937293186.65896</v>
      </c>
    </row>
    <row r="9" spans="1:2" x14ac:dyDescent="0.25">
      <c r="A9" t="s">
        <v>60</v>
      </c>
      <c r="B9" s="18">
        <f>B8*(1+Assumptions!B12)/(Assumptions!B26-Assumptions!B12)</f>
        <v>201422964673.09467</v>
      </c>
    </row>
    <row r="10" spans="1:2" x14ac:dyDescent="0.25">
      <c r="A10" t="s">
        <v>61</v>
      </c>
      <c r="B10" s="18">
        <f>B9/(1+Assumptions!B26)^(5-0.5*Assumptions!B32)</f>
        <v>154765811480.66235</v>
      </c>
    </row>
    <row r="11" spans="1:2" x14ac:dyDescent="0.25">
      <c r="A11" t="s">
        <v>62</v>
      </c>
      <c r="B11" s="18">
        <f>Forecast!B17+B10</f>
        <v>200569432801.17358</v>
      </c>
    </row>
    <row r="12" spans="1:2" x14ac:dyDescent="0.25">
      <c r="A12" t="s">
        <v>63</v>
      </c>
      <c r="B12" s="18">
        <f>-Assumptions!B30</f>
        <v>-31562000000</v>
      </c>
    </row>
    <row r="13" spans="1:2" x14ac:dyDescent="0.25">
      <c r="A13" t="s">
        <v>64</v>
      </c>
      <c r="B13" s="18">
        <f>B11+B12</f>
        <v>169007432801.17358</v>
      </c>
    </row>
    <row r="14" spans="1:2" x14ac:dyDescent="0.25">
      <c r="A14" s="19" t="s">
        <v>65</v>
      </c>
      <c r="B14" s="24">
        <f>B13/Assumptions!B31</f>
        <v>76.85649513468557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12413825484.417934</v>
      </c>
    </row>
    <row r="18" spans="1:2" x14ac:dyDescent="0.25">
      <c r="A18" t="s">
        <v>60</v>
      </c>
      <c r="B18" s="18">
        <f>B17*Assumptions!B13</f>
        <v>108635845651.72107</v>
      </c>
    </row>
    <row r="19" spans="1:2" x14ac:dyDescent="0.25">
      <c r="A19" t="s">
        <v>61</v>
      </c>
      <c r="B19" s="18">
        <f>B18/(1+Assumptions!B26)^(5-0.5*Assumptions!B32)</f>
        <v>83471687726.68964</v>
      </c>
    </row>
    <row r="20" spans="1:2" x14ac:dyDescent="0.25">
      <c r="A20" t="s">
        <v>62</v>
      </c>
      <c r="B20" s="18">
        <f>Forecast!B17+B19</f>
        <v>129275309047.20085</v>
      </c>
    </row>
    <row r="21" spans="1:2" x14ac:dyDescent="0.25">
      <c r="A21" t="s">
        <v>63</v>
      </c>
      <c r="B21" s="18">
        <f>-Assumptions!B30</f>
        <v>-31562000000</v>
      </c>
    </row>
    <row r="22" spans="1:2" x14ac:dyDescent="0.25">
      <c r="A22" t="s">
        <v>64</v>
      </c>
      <c r="B22" s="18">
        <f>B20+B21</f>
        <v>97713309047.20085</v>
      </c>
    </row>
    <row r="23" spans="1:2" x14ac:dyDescent="0.25">
      <c r="A23" s="19" t="s">
        <v>65</v>
      </c>
      <c r="B23" s="25">
        <f>B22/Assumptions!B31</f>
        <v>44.435338357071785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4196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7685.649513468557</v>
      </c>
    </row>
    <row r="29" spans="1:2" x14ac:dyDescent="0.25">
      <c r="A29" s="19" t="s">
        <v>73</v>
      </c>
      <c r="B29" s="12">
        <f>B28/B26-1</f>
        <v>0.8316609898638125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0.040302</v>
      </c>
      <c r="B5" s="31">
        <v>128.00842356157793</v>
      </c>
      <c r="C5" s="31">
        <v>149.27800364438627</v>
      </c>
      <c r="D5" s="31">
        <v>184.32821634296167</v>
      </c>
      <c r="E5" s="31">
        <v>253.2240479935988</v>
      </c>
      <c r="F5" s="31">
        <v>451.71885285524235</v>
      </c>
    </row>
    <row r="6" spans="1:6" x14ac:dyDescent="0.25">
      <c r="A6" s="30">
        <v>0.050302</v>
      </c>
      <c r="B6" s="31">
        <v>89.72428879415908</v>
      </c>
      <c r="C6" s="31">
        <v>97.97572045926746</v>
      </c>
      <c r="D6" s="31">
        <v>109.41925697247396</v>
      </c>
      <c r="E6" s="31">
        <v>126.41336413623513</v>
      </c>
      <c r="F6" s="31">
        <v>154.39906663741013</v>
      </c>
    </row>
    <row r="7" spans="1:6" x14ac:dyDescent="0.25">
      <c r="A7" s="30">
        <v>0.060302</v>
      </c>
      <c r="B7" s="31">
        <v>68.29099202320904</v>
      </c>
      <c r="C7" s="31">
        <v>72.06365616841975</v>
      </c>
      <c r="D7" s="32">
        <v>76.85756329911152</v>
      </c>
      <c r="E7" s="31">
        <v>83.1782458812013</v>
      </c>
      <c r="F7" s="31">
        <v>91.93083519960611</v>
      </c>
    </row>
    <row r="8" spans="1:6" x14ac:dyDescent="0.25">
      <c r="A8" s="30">
        <v>0.070302</v>
      </c>
      <c r="B8" s="31">
        <v>54.56963485487098</v>
      </c>
      <c r="C8" s="31">
        <v>56.402175204164195</v>
      </c>
      <c r="D8" s="31">
        <v>58.603793119800066</v>
      </c>
      <c r="E8" s="31">
        <v>61.31185556855801</v>
      </c>
      <c r="F8" s="31">
        <v>64.74155341772114</v>
      </c>
    </row>
    <row r="9" spans="1:6" x14ac:dyDescent="0.25">
      <c r="A9" s="30">
        <v>0.080302</v>
      </c>
      <c r="B9" s="31">
        <v>45.01912120395114</v>
      </c>
      <c r="C9" s="31">
        <v>45.894018261892434</v>
      </c>
      <c r="D9" s="31">
        <v>46.89927803942115</v>
      </c>
      <c r="E9" s="31">
        <v>48.073774553352024</v>
      </c>
      <c r="F9" s="31">
        <v>49.47354398411926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25610000000</v>
      </c>
      <c r="C5" s="18">
        <v>25867000000</v>
      </c>
      <c r="D5" s="18">
        <v>27283000000</v>
      </c>
      <c r="E5" s="18">
        <v>27655000000</v>
      </c>
      <c r="F5" s="8" t="s">
        <v>84</v>
      </c>
    </row>
    <row r="6" spans="1:6" x14ac:dyDescent="0.25">
      <c r="A6" t="s">
        <v>44</v>
      </c>
      <c r="B6" s="18">
        <v>11659000000</v>
      </c>
      <c r="C6" s="18">
        <v>10633000000</v>
      </c>
      <c r="D6" s="18">
        <v>-8533000000</v>
      </c>
      <c r="E6" s="18">
        <v>14279000000</v>
      </c>
      <c r="F6" s="8" t="s">
        <v>85</v>
      </c>
    </row>
    <row r="7" spans="1:6" x14ac:dyDescent="0.25">
      <c r="A7" t="s">
        <v>86</v>
      </c>
      <c r="B7" s="18">
        <v>2270000000</v>
      </c>
      <c r="C7" s="18">
        <v>3062000000</v>
      </c>
      <c r="D7" s="18">
        <v>24000000000</v>
      </c>
      <c r="E7" s="18">
        <v>1305000000</v>
      </c>
      <c r="F7" s="8" t="s">
        <v>87</v>
      </c>
    </row>
    <row r="8" spans="1:6" x14ac:dyDescent="0.25">
      <c r="A8" t="s">
        <v>88</v>
      </c>
      <c r="B8" s="18">
        <v>704000000</v>
      </c>
      <c r="C8" s="18">
        <v>608000000</v>
      </c>
      <c r="D8" s="18">
        <v>601000000</v>
      </c>
      <c r="E8" s="18">
        <v>656000000</v>
      </c>
      <c r="F8" s="8" t="s">
        <v>89</v>
      </c>
    </row>
    <row r="9" spans="1:6" x14ac:dyDescent="0.25">
      <c r="A9" t="s">
        <v>90</v>
      </c>
      <c r="B9" s="18">
        <v>3909000000</v>
      </c>
      <c r="C9" s="18">
        <v>-5776000000</v>
      </c>
      <c r="D9" s="18">
        <v>469000000</v>
      </c>
      <c r="E9" s="18">
        <v>-103000000</v>
      </c>
      <c r="F9" s="8" t="s">
        <v>91</v>
      </c>
    </row>
    <row r="10" spans="1:6" x14ac:dyDescent="0.25">
      <c r="A10" t="s">
        <v>92</v>
      </c>
      <c r="B10" s="18">
        <v>35070000000</v>
      </c>
      <c r="C10" s="18">
        <v>36950000000</v>
      </c>
      <c r="D10" s="18">
        <v>39730000000</v>
      </c>
      <c r="E10" s="18">
        <v>43139000000</v>
      </c>
      <c r="F10" s="8" t="s">
        <v>93</v>
      </c>
    </row>
    <row r="11" spans="1:6" x14ac:dyDescent="0.25">
      <c r="A11" t="s">
        <v>94</v>
      </c>
      <c r="B11" s="18">
        <v>3508000000</v>
      </c>
      <c r="C11" s="18">
        <v>3399000000</v>
      </c>
      <c r="D11" s="18">
        <v>2964000000</v>
      </c>
      <c r="E11" s="18">
        <v>2290000000</v>
      </c>
      <c r="F11" s="8" t="s">
        <v>95</v>
      </c>
    </row>
    <row r="12" spans="1:6" x14ac:dyDescent="0.25">
      <c r="A12" t="s">
        <v>32</v>
      </c>
      <c r="B12" s="34">
        <v>2199000000</v>
      </c>
      <c r="C12" s="34">
        <v>2225000000</v>
      </c>
      <c r="D12" s="34">
        <v>2229000000</v>
      </c>
      <c r="E12" s="34">
        <v>2267000000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2026-09-19T00:06:36Z</dcterms:modified>
</cp:coreProperties>
</file>