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<sst xmlns="http://schemas.openxmlformats.org/spreadsheetml/2006/main" count="111" uniqueCount="99">
  <si>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Baxter International Inc. (BAX)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</si>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</sst>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0.0378887286798415</v>
      </c>
    </row>
    <row r="7" spans="1:2" x14ac:dyDescent="0.25">
      <c r="A7" t="s">
        <v>5</v>
      </c>
      <c r="B7" s="6">
        <v>0.030494647734432657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0.09563947427835846</v>
      </c>
    </row>
    <row r="10" spans="1:2" x14ac:dyDescent="0.25">
      <c r="A10" t="s">
        <v>8</v>
      </c>
      <c r="B10" s="6">
        <v>0.04872478630915257</v>
      </c>
    </row>
    <row r="11" spans="1:2" x14ac:dyDescent="0.25">
      <c r="A11" t="s">
        <v>9</v>
      </c>
      <c r="B11" s="6">
        <v>0.17763157894736842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16.927036905008634</v>
      </c>
    </row>
    <row r="14" spans="1:3" x14ac:dyDescent="0.25">
      <c r="A14" t="s">
        <v>12</v>
      </c>
      <c r="B14" s="6">
        <v>0.06712358082579947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0.72865</v>
      </c>
      <c r="C19" s="8" t="s">
        <v>19</v>
      </c>
    </row>
    <row r="20" spans="1:2" x14ac:dyDescent="0.25">
      <c r="A20" t="s">
        <v>20</v>
      </c>
      <c r="B20" s="10">
        <f>B17+B19*B18</f>
        <v>0.09005575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11787508736</v>
      </c>
    </row>
    <row r="23" spans="1:2" x14ac:dyDescent="0.25">
      <c r="A23" t="s">
        <v>24</v>
      </c>
      <c r="B23" s="11">
        <v>9780000000</v>
      </c>
    </row>
    <row r="24" spans="1:2" x14ac:dyDescent="0.25">
      <c r="A24" t="s">
        <v>25</v>
      </c>
      <c r="B24" s="10">
        <f>B22/(B22+B23)</f>
        <v>0.5465401164449075</v>
      </c>
    </row>
    <row r="25" spans="1:2" x14ac:dyDescent="0.25">
      <c r="A25" t="s">
        <v>26</v>
      </c>
      <c r="B25" s="10">
        <f>1-B24</f>
        <v>0.4534598835550925</v>
      </c>
    </row>
    <row r="26" spans="1:2" x14ac:dyDescent="0.25">
      <c r="A26" t="s">
        <v>27</v>
      </c>
      <c r="B26" s="12">
        <f>B24*B20+B25*B21*(1-B8)</f>
        <v>0.06712358082579947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11244000000</v>
      </c>
      <c r="C29" s="8" t="s">
        <v>30</v>
      </c>
    </row>
    <row r="30" spans="1:2" x14ac:dyDescent="0.25">
      <c r="A30" t="s">
        <v>31</v>
      </c>
      <c r="B30" s="11">
        <v>7814000000</v>
      </c>
    </row>
    <row r="31" spans="1:2" x14ac:dyDescent="0.25">
      <c r="A31" t="s">
        <v>32</v>
      </c>
      <c r="B31" s="13">
        <v>513000000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0.0378887286798415</v>
      </c>
      <c r="C5" s="10">
        <f>Assumptions!B6</f>
        <v>0.0378887286798415</v>
      </c>
      <c r="D5" s="10">
        <f>Assumptions!B6</f>
        <v>0.0378887286798415</v>
      </c>
      <c r="E5" s="10">
        <f>Assumptions!B6</f>
        <v>0.0378887286798415</v>
      </c>
      <c r="F5" s="10">
        <f>Assumptions!B6</f>
        <v>0.0378887286798415</v>
      </c>
    </row>
    <row r="6" spans="1:6" x14ac:dyDescent="0.25">
      <c r="A6" t="s">
        <v>43</v>
      </c>
      <c r="B6" s="18">
        <f>Assumptions!B29*(1+B5)</f>
        <v>11670020865.276138</v>
      </c>
      <c r="C6" s="18">
        <f>B6*(1+C5)</f>
        <v>12112183119.528675</v>
      </c>
      <c r="D6" s="18">
        <f>C6*(1+D5)</f>
        <v>12571098339.465054</v>
      </c>
      <c r="E6" s="18">
        <f>D6*(1+E5)</f>
        <v>13047401273.65665</v>
      </c>
      <c r="F6" s="18">
        <f>E6*(1+F5)</f>
        <v>13541750720.491245</v>
      </c>
    </row>
    <row r="7" spans="1:6" x14ac:dyDescent="0.25">
      <c r="A7" t="s">
        <v>5</v>
      </c>
      <c r="B7" s="10">
        <f>Assumptions!B7</f>
        <v>0.030494647734432657</v>
      </c>
      <c r="C7" s="10">
        <f>Assumptions!B7</f>
        <v>0.030494647734432657</v>
      </c>
      <c r="D7" s="10">
        <f>Assumptions!B7</f>
        <v>0.030494647734432657</v>
      </c>
      <c r="E7" s="10">
        <f>Assumptions!B7</f>
        <v>0.030494647734432657</v>
      </c>
      <c r="F7" s="10">
        <f>Assumptions!B7</f>
        <v>0.030494647734432657</v>
      </c>
    </row>
    <row r="8" spans="1:6" x14ac:dyDescent="0.25">
      <c r="A8" t="s">
        <v>44</v>
      </c>
      <c r="B8" s="18">
        <f>B6*B7</f>
        <v>355873175.34007484</v>
      </c>
      <c r="C8" s="18">
        <f>C6*C7</f>
        <v>369356757.52496856</v>
      </c>
      <c r="D8" s="18">
        <f>D6*D7</f>
        <v>383351215.4968981</v>
      </c>
      <c r="E8" s="18">
        <f>E6*E7</f>
        <v>397875905.68994755</v>
      </c>
      <c r="F8" s="18">
        <f>F6*F7</f>
        <v>412950917.92888016</v>
      </c>
    </row>
    <row r="9" spans="1:6" x14ac:dyDescent="0.25">
      <c r="A9" t="s">
        <v>45</v>
      </c>
      <c r="B9" s="18">
        <f>B8*(1-Assumptions!B8)</f>
        <v>281139808.5186591</v>
      </c>
      <c r="C9" s="18">
        <f>C8*(1-Assumptions!B8)</f>
        <v>291791838.44472516</v>
      </c>
      <c r="D9" s="18">
        <f>D8*(1-Assumptions!B8)</f>
        <v>302847460.24254954</v>
      </c>
      <c r="E9" s="18">
        <f>E8*(1-Assumptions!B8)</f>
        <v>314321965.4950586</v>
      </c>
      <c r="F9" s="18">
        <f>F8*(1-Assumptions!B8)</f>
        <v>326231225.1638153</v>
      </c>
    </row>
    <row r="10" spans="1:6" x14ac:dyDescent="0.25">
      <c r="A10" t="s">
        <v>46</v>
      </c>
      <c r="B10" s="18">
        <f>B6*Assumptions!B9</f>
        <v>1116114660.3724837</v>
      </c>
      <c r="C10" s="18">
        <f>C6*Assumptions!B9</f>
        <v>1158402825.9149303</v>
      </c>
      <c r="D10" s="18">
        <f>D6*Assumptions!B9</f>
        <v>1202293236.2879827</v>
      </c>
      <c r="E10" s="18">
        <f>E6*Assumptions!B9</f>
        <v>1247846598.5113068</v>
      </c>
      <c r="F10" s="18">
        <f>F6*Assumptions!B9</f>
        <v>1295125919.7163646</v>
      </c>
    </row>
    <row r="11" spans="1:6" x14ac:dyDescent="0.25">
      <c r="A11" t="s">
        <v>47</v>
      </c>
      <c r="B11" s="18">
        <f>-B6*Assumptions!B10</f>
        <v>-568619272.8839316</v>
      </c>
      <c r="C11" s="18">
        <f>-C6*Assumptions!B10</f>
        <v>-590163534.2363597</v>
      </c>
      <c r="D11" s="18">
        <f>-D6*Assumptions!B10</f>
        <v>-612524080.2617774</v>
      </c>
      <c r="E11" s="18">
        <f>-E6*Assumptions!B10</f>
        <v>-635731838.9486854</v>
      </c>
      <c r="F11" s="18">
        <f>-F6*Assumptions!B10</f>
        <v>-659818910.1077487</v>
      </c>
    </row>
    <row r="12" spans="1:6" x14ac:dyDescent="0.25">
      <c r="A12" t="s">
        <v>48</v>
      </c>
      <c r="B12" s="18">
        <f>-(B6-Assumptions!B29)*Assumptions!B11</f>
        <v>-75674758.96352457</v>
      </c>
      <c r="C12" s="18">
        <f>-(C6-B6)*Assumptions!B11</f>
        <v>-78541979.37380587</v>
      </c>
      <c r="D12" s="18">
        <f>-(D6-C6)*Assumptions!B11</f>
        <v>-81517835.12027775</v>
      </c>
      <c r="E12" s="18">
        <f>-(E6-D6)*Assumptions!B11</f>
        <v>-84606442.25771788</v>
      </c>
      <c r="F12" s="18">
        <f>-(F6-E6)*Assumptions!B11</f>
        <v>-87812072.79298721</v>
      </c>
    </row>
    <row r="13" spans="1:6" x14ac:dyDescent="0.25">
      <c r="A13" s="19" t="s">
        <v>49</v>
      </c>
      <c r="B13" s="20">
        <f>B9+B10+B11+B12</f>
        <v>752960437.0436866</v>
      </c>
      <c r="C13" s="20">
        <f>C9+C10+C11+C12</f>
        <v>781489150.7494898</v>
      </c>
      <c r="D13" s="20">
        <f>D9+D10+D11+D12</f>
        <v>811098781.1484772</v>
      </c>
      <c r="E13" s="20">
        <f>E9+E10+E11+E12</f>
        <v>841830282.799962</v>
      </c>
      <c r="F13" s="20">
        <f>F9+F10+F11+F12</f>
        <v>873726161.9794439</v>
      </c>
    </row>
    <row r="14" spans="1:6" x14ac:dyDescent="0.25">
      <c r="A14" t="s">
        <v>50</v>
      </c>
      <c r="B14" s="21">
        <f>1/(1+Assumptions!$B$26)^(1-0.5*Assumptions!$B$32)</f>
        <v>0.9680385256991587</v>
      </c>
      <c r="C14" s="21">
        <f>1/(1+Assumptions!$B$26)^(2-0.5*Assumptions!$B$32)</f>
        <v>0.9071475348244454</v>
      </c>
      <c r="D14" s="21">
        <f>1/(1+Assumptions!$B$26)^(3-0.5*Assumptions!$B$32)</f>
        <v>0.8500866733002416</v>
      </c>
      <c r="E14" s="21">
        <f>1/(1+Assumptions!$B$26)^(4-0.5*Assumptions!$B$32)</f>
        <v>0.7966150205793385</v>
      </c>
      <c r="F14" s="21">
        <f>1/(1+Assumptions!$B$26)^(5-0.5*Assumptions!$B$32)</f>
        <v>0.7465068103573098</v>
      </c>
    </row>
    <row r="15" spans="1:6" x14ac:dyDescent="0.25">
      <c r="A15" s="19" t="s">
        <v>51</v>
      </c>
      <c r="B15" s="20">
        <f>B13*B14</f>
        <v>728894711.3855646</v>
      </c>
      <c r="C15" s="20">
        <f>C13*C14</f>
        <v>708925956.594449</v>
      </c>
      <c r="D15" s="20">
        <f>D13*D14</f>
        <v>689504264.5843897</v>
      </c>
      <c r="E15" s="20">
        <f>E13*E14</f>
        <v>670614648.0570022</v>
      </c>
      <c r="F15" s="20">
        <f>F13*F14</f>
        <v>652242530.3050089</v>
      </c>
    </row>
    <row r="17" spans="1:2" x14ac:dyDescent="0.25">
      <c r="A17" s="22" t="s">
        <v>52</v>
      </c>
      <c r="B17" s="23">
        <f>SUM(B15:F15)</f>
        <v>3450182110.9264145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873726161.9794439</v>
      </c>
    </row>
    <row r="5" spans="1:2" x14ac:dyDescent="0.25">
      <c r="A5" t="s">
        <v>56</v>
      </c>
      <c r="B5" s="18">
        <f>IF(Assumptions!$B$33=0,B4,B4-Forecast!F11-Forecast!F10-Forecast!F12)</f>
        <v>958513004.7675413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0.37244735296349174</v>
      </c>
    </row>
    <row r="7" spans="1:2" x14ac:dyDescent="0.25">
      <c r="A7" t="s">
        <v>58</v>
      </c>
      <c r="B7" s="18">
        <f>-MAX(Forecast!F9,0)*B6</f>
        <v>-356995631.4067535</v>
      </c>
    </row>
    <row r="8" spans="1:2" x14ac:dyDescent="0.25">
      <c r="A8" t="s">
        <v>59</v>
      </c>
      <c r="B8" s="18">
        <f>IF(OR(Assumptions!$B$33=0,Assumptions!B12&lt;=0),B5,MAX(B5+B7,0))</f>
        <v>601517373.3607879</v>
      </c>
    </row>
    <row r="9" spans="1:2" x14ac:dyDescent="0.25">
      <c r="A9" t="s">
        <v>60</v>
      </c>
      <c r="B9" s="18">
        <f>B8*(1+Assumptions!B12)/(Assumptions!B26-Assumptions!B12)</f>
        <v>14636820887.676891</v>
      </c>
    </row>
    <row r="10" spans="1:2" x14ac:dyDescent="0.25">
      <c r="A10" t="s">
        <v>61</v>
      </c>
      <c r="B10" s="18">
        <f>B9/(1+Assumptions!B26)^(5-0.5*Assumptions!B32)</f>
        <v>10926486474.630924</v>
      </c>
    </row>
    <row r="11" spans="1:2" x14ac:dyDescent="0.25">
      <c r="A11" t="s">
        <v>62</v>
      </c>
      <c r="B11" s="18">
        <f>Forecast!B17+B10</f>
        <v>14376668585.557339</v>
      </c>
    </row>
    <row r="12" spans="1:2" x14ac:dyDescent="0.25">
      <c r="A12" t="s">
        <v>63</v>
      </c>
      <c r="B12" s="18">
        <f>-Assumptions!B30</f>
        <v>-7814000000</v>
      </c>
    </row>
    <row r="13" spans="1:2" x14ac:dyDescent="0.25">
      <c r="A13" t="s">
        <v>64</v>
      </c>
      <c r="B13" s="18">
        <f>B11+B12</f>
        <v>6562668585.557339</v>
      </c>
    </row>
    <row r="14" spans="1:2" x14ac:dyDescent="0.25">
      <c r="A14" s="19" t="s">
        <v>65</v>
      </c>
      <c r="B14" s="24">
        <f>B13/Assumptions!B31</f>
        <v>12.792726287636137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1708076837.6452448</v>
      </c>
    </row>
    <row r="18" spans="1:2" x14ac:dyDescent="0.25">
      <c r="A18" t="s">
        <v>60</v>
      </c>
      <c r="B18" s="18">
        <f>B17*Assumptions!B13</f>
        <v>28912679667.411503</v>
      </c>
    </row>
    <row r="19" spans="1:2" x14ac:dyDescent="0.25">
      <c r="A19" t="s">
        <v>61</v>
      </c>
      <c r="B19" s="18">
        <f>B18/(1+Assumptions!B26)^(5-0.5*Assumptions!B32)</f>
        <v>21583512277.402004</v>
      </c>
    </row>
    <row r="20" spans="1:2" x14ac:dyDescent="0.25">
      <c r="A20" t="s">
        <v>62</v>
      </c>
      <c r="B20" s="18">
        <f>Forecast!B17+B19</f>
        <v>25033694388.32842</v>
      </c>
    </row>
    <row r="21" spans="1:2" x14ac:dyDescent="0.25">
      <c r="A21" t="s">
        <v>63</v>
      </c>
      <c r="B21" s="18">
        <f>-Assumptions!B30</f>
        <v>-7814000000</v>
      </c>
    </row>
    <row r="22" spans="1:2" x14ac:dyDescent="0.25">
      <c r="A22" t="s">
        <v>64</v>
      </c>
      <c r="B22" s="18">
        <f>B20+B21</f>
        <v>17219694388.32842</v>
      </c>
    </row>
    <row r="23" spans="1:2" x14ac:dyDescent="0.25">
      <c r="A23" s="19" t="s">
        <v>65</v>
      </c>
      <c r="B23" s="25">
        <f>B22/Assumptions!B31</f>
        <v>33.56665572773571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12.792726287636137</v>
      </c>
    </row>
    <row r="29" spans="1:2" x14ac:dyDescent="0.25">
      <c r="A29" s="19" t="s">
        <v>73</v>
      </c>
      <c r="B29" s="12">
        <f>B28/B26-1</f>
        <v>-0.43891551370016946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0.047124</v>
      </c>
      <c r="B5" s="31">
        <v>24.526843679860225</v>
      </c>
      <c r="C5" s="31">
        <v>24.687988737400463</v>
      </c>
      <c r="D5" s="31">
        <v>24.849133794940727</v>
      </c>
      <c r="E5" s="31">
        <v>25.010278852480987</v>
      </c>
      <c r="F5" s="31">
        <v>25.171423910021225</v>
      </c>
    </row>
    <row r="6" spans="1:6" x14ac:dyDescent="0.25">
      <c r="A6" s="30">
        <v>0.057124</v>
      </c>
      <c r="B6" s="31">
        <v>17.506720178395454</v>
      </c>
      <c r="C6" s="31">
        <v>17.634089648164025</v>
      </c>
      <c r="D6" s="31">
        <v>17.7614591179326</v>
      </c>
      <c r="E6" s="31">
        <v>17.888828587701177</v>
      </c>
      <c r="F6" s="31">
        <v>18.016198057469754</v>
      </c>
    </row>
    <row r="7" spans="1:6" x14ac:dyDescent="0.25">
      <c r="A7" s="30">
        <v>0.067124</v>
      </c>
      <c r="B7" s="31">
        <v>12.584753823459804</v>
      </c>
      <c r="C7" s="31">
        <v>12.688651497850593</v>
      </c>
      <c r="D7" s="32">
        <v>12.792549172241367</v>
      </c>
      <c r="E7" s="31">
        <v>12.896446846632148</v>
      </c>
      <c r="F7" s="31">
        <v>13.00034452102293</v>
      </c>
    </row>
    <row r="8" spans="1:6" x14ac:dyDescent="0.25">
      <c r="A8" s="30">
        <v>0.077124</v>
      </c>
      <c r="B8" s="31">
        <v>8.944466713018652</v>
      </c>
      <c r="C8" s="31">
        <v>9.031175965156415</v>
      </c>
      <c r="D8" s="31">
        <v>9.11788521729416</v>
      </c>
      <c r="E8" s="31">
        <v>9.204594469431916</v>
      </c>
      <c r="F8" s="31">
        <v>9.291303721569664</v>
      </c>
    </row>
    <row r="9" spans="1:6" x14ac:dyDescent="0.25">
      <c r="A9" s="30">
        <v>0.087124</v>
      </c>
      <c r="B9" s="31">
        <v>6.144257859639649</v>
      </c>
      <c r="C9" s="31">
        <v>6.217888226835091</v>
      </c>
      <c r="D9" s="31">
        <v>6.29151859403054</v>
      </c>
      <c r="E9" s="31">
        <v>6.365148961225982</v>
      </c>
      <c r="F9" s="31">
        <v>6.438779328421431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11244000000</v>
      </c>
      <c r="C5" s="18">
        <v>10636000000</v>
      </c>
      <c r="D5" s="18">
        <v>10360000000</v>
      </c>
      <c r="E5" s="18">
        <v>10057000000</v>
      </c>
      <c r="F5" s="8" t="s">
        <v>84</v>
      </c>
    </row>
    <row r="6" spans="1:6" x14ac:dyDescent="0.25">
      <c r="A6" t="s">
        <v>44</v>
      </c>
      <c r="B6" s="18">
        <v>177000000</v>
      </c>
      <c r="C6" s="18">
        <v>439000000</v>
      </c>
      <c r="D6" s="18">
        <v>707000000</v>
      </c>
      <c r="E6" s="18">
        <v>-33000000</v>
      </c>
      <c r="F6" s="8" t="s">
        <v>85</v>
      </c>
    </row>
    <row r="7" spans="1:6" x14ac:dyDescent="0.25">
      <c r="A7" t="s">
        <v>86</v>
      </c>
      <c r="B7" s="18">
        <v>981000000</v>
      </c>
      <c r="C7" s="18">
        <v>997000000</v>
      </c>
      <c r="D7" s="18">
        <v>984000000</v>
      </c>
      <c r="E7" s="18">
        <v>1072000000</v>
      </c>
      <c r="F7" s="8" t="s">
        <v>87</v>
      </c>
    </row>
    <row r="8" spans="1:6" x14ac:dyDescent="0.25">
      <c r="A8" t="s">
        <v>88</v>
      </c>
      <c r="B8" s="18">
        <v>522000000</v>
      </c>
      <c r="C8" s="18">
        <v>460000000</v>
      </c>
      <c r="D8" s="18">
        <v>436000000</v>
      </c>
      <c r="E8" s="18">
        <v>635000000</v>
      </c>
      <c r="F8" s="8" t="s">
        <v>89</v>
      </c>
    </row>
    <row r="9" spans="1:6" x14ac:dyDescent="0.25">
      <c r="A9" t="s">
        <v>90</v>
      </c>
      <c r="B9" s="18">
        <v>108000000</v>
      </c>
      <c r="C9" s="18">
        <v>236000000</v>
      </c>
      <c r="D9" s="18">
        <v>-161000000</v>
      </c>
      <c r="E9" s="18">
        <v>606000000</v>
      </c>
      <c r="F9" s="8" t="s">
        <v>91</v>
      </c>
    </row>
    <row r="10" spans="1:6" x14ac:dyDescent="0.25">
      <c r="A10" t="s">
        <v>92</v>
      </c>
      <c r="B10" s="18">
        <v>9780000000</v>
      </c>
      <c r="C10" s="18">
        <v>13449000000</v>
      </c>
      <c r="D10" s="18">
        <v>14113000000</v>
      </c>
      <c r="E10" s="18">
        <v>17203000000</v>
      </c>
      <c r="F10" s="8" t="s">
        <v>93</v>
      </c>
    </row>
    <row r="11" spans="1:6" x14ac:dyDescent="0.25">
      <c r="A11" t="s">
        <v>94</v>
      </c>
      <c r="B11" s="18">
        <v>1966000000</v>
      </c>
      <c r="C11" s="18">
        <v>1764000000</v>
      </c>
      <c r="D11" s="18">
        <v>3078000000</v>
      </c>
      <c r="E11" s="18">
        <v>1718000000</v>
      </c>
      <c r="F11" s="8" t="s">
        <v>95</v>
      </c>
    </row>
    <row r="12" spans="1:6" x14ac:dyDescent="0.25">
      <c r="A12" t="s">
        <v>32</v>
      </c>
      <c r="B12" s="34">
        <v>513000000</v>
      </c>
      <c r="C12" s="34">
        <v>510000000</v>
      </c>
      <c r="D12" s="34">
        <v>506000000</v>
      </c>
      <c r="E12" s="34">
        <v>504000000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2026-09-19T00:06:27Z</dcterms:modified>
</cp:coreProperties>
</file>