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<sst xmlns="http://schemas.openxmlformats.org/spreadsheetml/2006/main" count="119" uniqueCount="106">
  <si>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Baxter International Inc. (BAX)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</si>
  <si>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</si>
  <si>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</si>
  <si>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</si>
  <si>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</si>
  <si>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</si>
  <si>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</si>
  <si>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</si>
  <si>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</si>
  <si>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</si>
  <si>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</si>
  <si>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</si>
  <si>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</si>
  <si>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</si>
  <si>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</si>
  <si>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</si>
  <si>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</si>
  <si>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</si>
  <si>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</si>
  <si>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</si>
  <si>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</si>
  <si>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</si>
  <si>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</si>
  <si>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</si>
  <si>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C rating at 0.6x interest cover, capped at 200bp because one year's cover is too noisy to charge more. Book interest / average debt was lower, at 2.5%.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</si>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</sst>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0.04071371398078982</v>
      </c>
    </row>
    <row r="7" spans="1:2" x14ac:dyDescent="0.25">
      <c r="A7" t="s">
        <v>4</v>
      </c>
      <c r="B7" s="5">
        <v>0.030494647734432657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0.09563947427835846</v>
      </c>
    </row>
    <row r="10" spans="1:3" x14ac:dyDescent="0.25">
      <c r="A10" t="s">
        <v>7</v>
      </c>
      <c r="B10" s="5">
        <v>0.04872478630915257</v>
      </c>
      <c r="C10" s="6" t="s">
        <v>8</v>
      </c>
    </row>
    <row r="11" spans="1:2" x14ac:dyDescent="0.25">
      <c r="A11" t="s">
        <v>9</v>
      </c>
      <c r="B11" s="5">
        <v>0.27059607251709705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17.568370404145078</v>
      </c>
    </row>
    <row r="14" spans="1:3" x14ac:dyDescent="0.25">
      <c r="A14" t="s">
        <v>12</v>
      </c>
      <c r="B14" s="5">
        <v>0.06986536557859585</v>
      </c>
      <c r="C14" s="6" t="s">
        <v>13</v>
      </c>
    </row>
    <row r="15" spans="1:3" x14ac:dyDescent="0.25">
      <c r="A15" t="s">
        <v>14</v>
      </c>
      <c r="B15" s="5">
        <v>0.03653657838531864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0.7789</v>
      </c>
      <c r="C19" s="6" t="s">
        <v>21</v>
      </c>
    </row>
    <row r="20" spans="1:2" x14ac:dyDescent="0.25">
      <c r="A20" t="s">
        <v>22</v>
      </c>
      <c r="B20" s="9">
        <f>B17+B19*B18</f>
        <v>0.08188747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12530172928</v>
      </c>
    </row>
    <row r="23" spans="1:2" x14ac:dyDescent="0.25">
      <c r="A23" t="s">
        <v>26</v>
      </c>
      <c r="B23" s="10">
        <v>9780000000</v>
      </c>
    </row>
    <row r="24" spans="1:2" x14ac:dyDescent="0.25">
      <c r="A24" t="s">
        <v>27</v>
      </c>
      <c r="B24" s="9">
        <f>B22/(B22+B23)</f>
        <v>0.5616349531865</v>
      </c>
    </row>
    <row r="25" spans="1:2" x14ac:dyDescent="0.25">
      <c r="A25" t="s">
        <v>28</v>
      </c>
      <c r="B25" s="9">
        <f>1-B24</f>
        <v>0.43836504681349997</v>
      </c>
    </row>
    <row r="26" spans="1:2" x14ac:dyDescent="0.25">
      <c r="A26" t="s">
        <v>29</v>
      </c>
      <c r="B26" s="11">
        <f>B24*B20+B25*B21*(1-B8)</f>
        <v>0.06986536557859585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11244000000</v>
      </c>
      <c r="C29" s="6" t="s">
        <v>32</v>
      </c>
    </row>
    <row r="30" spans="1:2" x14ac:dyDescent="0.25">
      <c r="A30" t="s">
        <v>33</v>
      </c>
      <c r="B30" s="10">
        <v>7814000000</v>
      </c>
    </row>
    <row r="31" spans="1:2" x14ac:dyDescent="0.25">
      <c r="A31" t="s">
        <v>34</v>
      </c>
      <c r="B31" s="12">
        <v>513000000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0.04071371398078982</v>
      </c>
      <c r="C5" s="5">
        <v>0.021829076504140232</v>
      </c>
      <c r="D5" s="5">
        <v>0.022225441941122703</v>
      </c>
      <c r="E5" s="5">
        <v>0.022621807378105173</v>
      </c>
      <c r="F5" s="5">
        <v>0.023018172815087647</v>
      </c>
      <c r="G5" s="5">
        <v>0.023414538252070117</v>
      </c>
      <c r="H5" s="5">
        <v>0.023810903689052587</v>
      </c>
      <c r="I5" s="5">
        <v>0.02420726912603506</v>
      </c>
      <c r="J5" s="5">
        <v>0.02460363456301753</v>
      </c>
      <c r="K5" s="5">
        <v>0.025</v>
      </c>
    </row>
    <row r="6" spans="1:11" x14ac:dyDescent="0.25">
      <c r="A6" t="s">
        <v>50</v>
      </c>
      <c r="B6" s="18">
        <f>Assumptions!B29*(1+B5)</f>
        <v>11701785000</v>
      </c>
      <c r="C6" s="18">
        <f>B6*(1+C5)</f>
        <v>11957224160</v>
      </c>
      <c r="D6" s="18">
        <f>C6*(1+D5)</f>
        <v>12222978751.34507</v>
      </c>
      <c r="E6" s="18">
        <f>D6*(1+E5)</f>
        <v>12499484622.24467</v>
      </c>
      <c r="F6" s="18">
        <f>E6*(1+F5)</f>
        <v>12787199919.379028</v>
      </c>
      <c r="G6" s="18">
        <f>F6*(1+G5)</f>
        <v>13086606301.028196</v>
      </c>
      <c r="H6" s="18">
        <f>G6*(1+H5)</f>
        <v>13398210223.278528</v>
      </c>
      <c r="I6" s="18">
        <f>H6*(1+I5)</f>
        <v>13722544303.960627</v>
      </c>
      <c r="J6" s="18">
        <f>I6*(1+J5)</f>
        <v>14060168769.290092</v>
      </c>
      <c r="K6" s="18">
        <f>J6*(1+K5)</f>
        <v>14411672988.522343</v>
      </c>
    </row>
    <row r="7" spans="1:11" x14ac:dyDescent="0.25">
      <c r="A7" t="s">
        <v>4</v>
      </c>
      <c r="B7" s="9">
        <f>Assumptions!B7</f>
        <v>0.030494647734432657</v>
      </c>
      <c r="C7" s="9">
        <f>Assumptions!B7</f>
        <v>0.030494647734432657</v>
      </c>
      <c r="D7" s="9">
        <f>Assumptions!B7</f>
        <v>0.030494647734432657</v>
      </c>
      <c r="E7" s="9">
        <f>Assumptions!B7</f>
        <v>0.030494647734432657</v>
      </c>
      <c r="F7" s="9">
        <f>Assumptions!B7</f>
        <v>0.030494647734432657</v>
      </c>
      <c r="G7" s="9">
        <f>Assumptions!B7</f>
        <v>0.030494647734432657</v>
      </c>
      <c r="H7" s="9">
        <f>Assumptions!B7</f>
        <v>0.030494647734432657</v>
      </c>
      <c r="I7" s="9">
        <f>Assumptions!B7</f>
        <v>0.030494647734432657</v>
      </c>
      <c r="J7" s="9">
        <f>Assumptions!B7</f>
        <v>0.030494647734432657</v>
      </c>
      <c r="K7" s="9">
        <f>Assumptions!B7</f>
        <v>0.030494647734432657</v>
      </c>
    </row>
    <row r="8" spans="1:11" x14ac:dyDescent="0.25">
      <c r="A8" t="s">
        <v>51</v>
      </c>
      <c r="B8" s="18">
        <f>B6*B7</f>
        <v>356841811.439068</v>
      </c>
      <c r="C8" s="18">
        <f>C6*C7</f>
        <v>364631338.64084744</v>
      </c>
      <c r="D8" s="18">
        <f>D6*D7</f>
        <v>372735431.2877234</v>
      </c>
      <c r="E8" s="18">
        <f>E6*E7</f>
        <v>381167380.4173093</v>
      </c>
      <c r="F8" s="18">
        <f>F6*F7</f>
        <v>389941157.0512291</v>
      </c>
      <c r="G8" s="18">
        <f>G6*G7</f>
        <v>399071449.18906164</v>
      </c>
      <c r="H8" s="18">
        <f>H6*H7</f>
        <v>408573701.030753</v>
      </c>
      <c r="I8" s="18">
        <f>I6*I7</f>
        <v>418464154.5694247</v>
      </c>
      <c r="J8" s="18">
        <f>J6*J7</f>
        <v>428759893.70617294</v>
      </c>
      <c r="K8" s="18">
        <f>K6*K7</f>
        <v>439478891.0488272</v>
      </c>
    </row>
    <row r="9" spans="1:11" x14ac:dyDescent="0.25">
      <c r="A9" t="s">
        <v>52</v>
      </c>
      <c r="B9" s="18">
        <f>B8*(1-Assumptions!B8)</f>
        <v>281905031.03686374</v>
      </c>
      <c r="C9" s="18">
        <f>C8*(1-Assumptions!B8)</f>
        <v>288058757.5262695</v>
      </c>
      <c r="D9" s="18">
        <f>D8*(1-Assumptions!B8)</f>
        <v>294460990.7173015</v>
      </c>
      <c r="E9" s="18">
        <f>E8*(1-Assumptions!B8)</f>
        <v>301122230.52967435</v>
      </c>
      <c r="F9" s="18">
        <f>F8*(1-Assumptions!B8)</f>
        <v>308053514.070471</v>
      </c>
      <c r="G9" s="18">
        <f>G8*(1-Assumptions!B8)</f>
        <v>315266444.8593587</v>
      </c>
      <c r="H9" s="18">
        <f>H8*(1-Assumptions!B8)</f>
        <v>322773223.8142949</v>
      </c>
      <c r="I9" s="18">
        <f>I8*(1-Assumptions!B8)</f>
        <v>330586682.1098455</v>
      </c>
      <c r="J9" s="18">
        <f>J8*(1-Assumptions!B8)</f>
        <v>338720316.0278766</v>
      </c>
      <c r="K9" s="18">
        <f>K8*(1-Assumptions!B8)</f>
        <v>347188323.9285735</v>
      </c>
    </row>
    <row r="10" spans="1:11" x14ac:dyDescent="0.25">
      <c r="A10" t="s">
        <v>53</v>
      </c>
      <c r="B10" s="18">
        <f>B6*Assumptions!B9</f>
        <v>1119152565.5183809</v>
      </c>
      <c r="C10" s="18">
        <f>C6*Assumptions!B9</f>
        <v>1143582632.4908864</v>
      </c>
      <c r="D10" s="18">
        <f>D6*Assumptions!B9</f>
        <v>1168999261.894189</v>
      </c>
      <c r="E10" s="18">
        <f>E6*Assumptions!B9</f>
        <v>1195444138.0219064</v>
      </c>
      <c r="F10" s="18">
        <f>F6*Assumptions!B9</f>
        <v>1222961077.781678</v>
      </c>
      <c r="G10" s="18">
        <f>G6*Assumptions!B9</f>
        <v>1251596146.71819</v>
      </c>
      <c r="H10" s="18">
        <f>H6*Assumptions!B9</f>
        <v>1281397782.0252862</v>
      </c>
      <c r="I10" s="18">
        <f>I6*Assumptions!B9</f>
        <v>1312416922.992277</v>
      </c>
      <c r="J10" s="18">
        <f>J6*Assumptions!B9</f>
        <v>1344707149.3598988</v>
      </c>
      <c r="K10" s="18">
        <f>K6*Assumptions!B9</f>
        <v>1378324828.0938962</v>
      </c>
    </row>
    <row r="11" spans="1:11" x14ac:dyDescent="0.25">
      <c r="A11" t="s">
        <v>54</v>
      </c>
      <c r="B11" s="18">
        <f>-B6*B19</f>
        <v>-570166973.5606469</v>
      </c>
      <c r="C11" s="18">
        <f>-C6*C19</f>
        <v>-600070491.7393454</v>
      </c>
      <c r="D11" s="18">
        <f>-D6*D19</f>
        <v>-631252619.5075574</v>
      </c>
      <c r="E11" s="18">
        <f>-E6*E19</f>
        <v>-663781683.4127673</v>
      </c>
      <c r="F11" s="18">
        <f>-F6*F19</f>
        <v>-697729772.0293508</v>
      </c>
      <c r="G11" s="18">
        <f>-G6*G19</f>
        <v>-733172966.7002732</v>
      </c>
      <c r="H11" s="18">
        <f>-H6*H19</f>
        <v>-770191587.1064783</v>
      </c>
      <c r="I11" s="18">
        <f>-I6*I19</f>
        <v>-808870452.6851419</v>
      </c>
      <c r="J11" s="18">
        <f>-J6*J19</f>
        <v>-849299160.9914796</v>
      </c>
      <c r="K11" s="18">
        <f>-K6*K19</f>
        <v>-891572384.1779076</v>
      </c>
    </row>
    <row r="12" spans="1:11" x14ac:dyDescent="0.25">
      <c r="A12" t="s">
        <v>55</v>
      </c>
      <c r="B12" s="18">
        <f>-(B6-Assumptions!B29)*Assumptions!B11</f>
        <v>-123874823.05723928</v>
      </c>
      <c r="C12" s="18">
        <f>-(C6-B6)*Assumptions!B11</f>
        <v>-69120833.46306635</v>
      </c>
      <c r="D12" s="18">
        <f>-(D6-C6)*Assumptions!B11</f>
        <v>-71912148.67136203</v>
      </c>
      <c r="E12" s="18">
        <f>-(E6-D6)*Assumptions!B11</f>
        <v>-74821402.6933515</v>
      </c>
      <c r="F12" s="18">
        <f>-(F6-E6)*Assumptions!B11</f>
        <v>-77854629.40764672</v>
      </c>
      <c r="G12" s="18">
        <f>-(G6-F6)*Assumptions!B11</f>
        <v>-81018190.9608199</v>
      </c>
      <c r="H12" s="18">
        <f>-(H6-G6)*Assumptions!B11</f>
        <v>-84318797.54186268</v>
      </c>
      <c r="I12" s="18">
        <f>-(I6-H6)*Assumptions!B11</f>
        <v>-87763528.4160191</v>
      </c>
      <c r="J12" s="18">
        <f>-(J6-I6)*Assumptions!B11</f>
        <v>-91359854.30383827</v>
      </c>
      <c r="K12" s="18">
        <f>-(K6-J6)*Assumptions!B11</f>
        <v>-95115661.19743556</v>
      </c>
    </row>
    <row r="13" spans="1:11" x14ac:dyDescent="0.25">
      <c r="A13" s="19" t="s">
        <v>56</v>
      </c>
      <c r="B13" s="20">
        <f>B9+B10+B11+B12</f>
        <v>707015799.9373585</v>
      </c>
      <c r="C13" s="20">
        <f>C9+C10+C11+C12</f>
        <v>762450064.8147441</v>
      </c>
      <c r="D13" s="20">
        <f>D9+D10+D11+D12</f>
        <v>760295484.4325708</v>
      </c>
      <c r="E13" s="20">
        <f>E9+E10+E11+E12</f>
        <v>757963282.4454619</v>
      </c>
      <c r="F13" s="20">
        <f>F9+F10+F11+F12</f>
        <v>755430190.4151516</v>
      </c>
      <c r="G13" s="20">
        <f>G9+G10+G11+G12</f>
        <v>752671433.9164557</v>
      </c>
      <c r="H13" s="20">
        <f>H9+H10+H11+H12</f>
        <v>749660621.19124</v>
      </c>
      <c r="I13" s="20">
        <f>I9+I10+I11+I12</f>
        <v>746369624.0009613</v>
      </c>
      <c r="J13" s="20">
        <f>J9+J10+J11+J12</f>
        <v>742768450.0924575</v>
      </c>
      <c r="K13" s="20">
        <f>K9+K10+K11+K12</f>
        <v>738825106.6471264</v>
      </c>
    </row>
    <row r="14" spans="1:11" x14ac:dyDescent="0.25">
      <c r="A14" t="s">
        <v>57</v>
      </c>
      <c r="B14" s="21">
        <f>1/(1+Assumptions!$B$26)^(1-0.5*Assumptions!$B$32)</f>
        <v>0.9667973153503145</v>
      </c>
      <c r="C14" s="21">
        <f>1/(1+Assumptions!$B$26)^(2-0.5*Assumptions!$B$32)</f>
        <v>0.9036625976086806</v>
      </c>
      <c r="D14" s="21">
        <f>1/(1+Assumptions!$B$26)^(3-0.5*Assumptions!$B$32)</f>
        <v>0.8446507632481113</v>
      </c>
      <c r="E14" s="21">
        <f>1/(1+Assumptions!$B$26)^(4-0.5*Assumptions!$B$32)</f>
        <v>0.7894925758170647</v>
      </c>
      <c r="F14" s="21">
        <f>1/(1+Assumptions!$B$26)^(5-0.5*Assumptions!$B$32)</f>
        <v>0.7379363807988099</v>
      </c>
      <c r="G14" s="21">
        <f>1/(1+Assumptions!$B$26)^(6-0.5*Assumptions!$B$32)</f>
        <v>0.6897469574591987</v>
      </c>
      <c r="H14" s="21">
        <f>1/(1+Assumptions!$B$26)^(7-0.5*Assumptions!$B$32)</f>
        <v>0.6447044456721667</v>
      </c>
      <c r="I14" s="21">
        <f>1/(1+Assumptions!$B$26)^(8-0.5*Assumptions!$B$32)</f>
        <v>0.6026033428266957</v>
      </c>
      <c r="J14" s="21">
        <f>1/(1+Assumptions!$B$26)^(9-0.5*Assumptions!$B$32)</f>
        <v>0.5632515662387113</v>
      </c>
      <c r="K14" s="21">
        <f>1/(1+Assumptions!$B$26)^(10-0.5*Assumptions!$B$32)</f>
        <v>0.5264695767902517</v>
      </c>
    </row>
    <row r="15" spans="1:11" x14ac:dyDescent="0.25">
      <c r="A15" s="19" t="s">
        <v>58</v>
      </c>
      <c r="B15" s="20">
        <f>B13*B14</f>
        <v>683540977.2896932</v>
      </c>
      <c r="C15" s="20">
        <f>C13*C14</f>
        <v>688997606.1173986</v>
      </c>
      <c r="D15" s="20">
        <f>D13*D14</f>
        <v>642184161.2200634</v>
      </c>
      <c r="E15" s="20">
        <f>E13*E14</f>
        <v>598406384.232625</v>
      </c>
      <c r="F15" s="20">
        <f>F13*F14</f>
        <v>557459420.6611128</v>
      </c>
      <c r="G15" s="20">
        <f>G13*G14</f>
        <v>519152831.51032764</v>
      </c>
      <c r="H15" s="20">
        <f>H13*H14</f>
        <v>483309535.2273505</v>
      </c>
      <c r="I15" s="20">
        <f>I13*I14</f>
        <v>449764830.40728325</v>
      </c>
      <c r="J15" s="20">
        <f>J13*J14</f>
        <v>418365492.8672768</v>
      </c>
      <c r="K15" s="20">
        <f>K13*K14</f>
        <v>388968941.2185253</v>
      </c>
    </row>
    <row r="17" spans="1:2" x14ac:dyDescent="0.25">
      <c r="A17" s="22" t="s">
        <v>59</v>
      </c>
      <c r="B17" s="23">
        <f>SUM(B15:K15)</f>
        <v>5430150180.751657</v>
      </c>
    </row>
    <row r="19" spans="1:11" x14ac:dyDescent="0.25">
      <c r="A19" t="s">
        <v>7</v>
      </c>
      <c r="B19" s="9">
        <f>Assumptions!$B$10+($B$20-Assumptions!$B$10)*0/9</f>
        <v>0.04872478630915257</v>
      </c>
      <c r="C19" s="9">
        <f>Assumptions!$B$10+($B$20-Assumptions!$B$10)*1/9</f>
        <v>0.050184765603603555</v>
      </c>
      <c r="D19" s="9">
        <f>Assumptions!$B$10+($B$20-Assumptions!$B$10)*2/9</f>
        <v>0.05164474489805454</v>
      </c>
      <c r="E19" s="9">
        <f>Assumptions!$B$10+($B$20-Assumptions!$B$10)*3/9</f>
        <v>0.05310472419250552</v>
      </c>
      <c r="F19" s="9">
        <f>Assumptions!$B$10+($B$20-Assumptions!$B$10)*4/9</f>
        <v>0.0545647034869565</v>
      </c>
      <c r="G19" s="9">
        <f>Assumptions!$B$10+($B$20-Assumptions!$B$10)*5/9</f>
        <v>0.05602468278140749</v>
      </c>
      <c r="H19" s="9">
        <f>Assumptions!$B$10+($B$20-Assumptions!$B$10)*6/9</f>
        <v>0.057484662075858464</v>
      </c>
      <c r="I19" s="9">
        <f>Assumptions!$B$10+($B$20-Assumptions!$B$10)*7/9</f>
        <v>0.058944641370309456</v>
      </c>
      <c r="J19" s="9">
        <f>Assumptions!$B$10+($B$20-Assumptions!$B$10)*8/9</f>
        <v>0.06040462066476043</v>
      </c>
      <c r="K19" s="9">
        <f>Assumptions!$B$10+($B$20-Assumptions!$B$10)*9/9</f>
        <v>0.06186459995921142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0.06186459995921142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738825106.6471264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1020087894.4738581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0.35783109117028755</v>
      </c>
    </row>
    <row r="7" spans="1:2" x14ac:dyDescent="0.25">
      <c r="A7" t="s">
        <v>66</v>
      </c>
      <c r="B7" s="18">
        <f>-MAX(B5,0)*B6</f>
        <v>-365019164.3691818</v>
      </c>
    </row>
    <row r="8" spans="1:2" x14ac:dyDescent="0.25">
      <c r="A8" t="s">
        <v>67</v>
      </c>
      <c r="B8" s="18">
        <f>IF(OR(Assumptions!$B$33=0,Assumptions!B12&lt;=0),B5,MAX(B5+B7,0))</f>
        <v>655068730.1046762</v>
      </c>
    </row>
    <row r="9" spans="1:2" x14ac:dyDescent="0.25">
      <c r="A9" t="s">
        <v>68</v>
      </c>
      <c r="B9" s="18">
        <f>B8*(1+Assumptions!B12)/(Assumptions!B26-Assumptions!B12)</f>
        <v>14965785739.13645</v>
      </c>
    </row>
    <row r="10" spans="1:2" x14ac:dyDescent="0.25">
      <c r="A10" t="s">
        <v>69</v>
      </c>
      <c r="B10" s="18">
        <f>B9/(1+Assumptions!B26)^(10-0.5*Assumptions!B32)</f>
        <v>7879030884.416752</v>
      </c>
    </row>
    <row r="11" spans="1:2" x14ac:dyDescent="0.25">
      <c r="A11" t="s">
        <v>70</v>
      </c>
      <c r="B11" s="18">
        <f>Forecast!B17+B10</f>
        <v>13309181065.168407</v>
      </c>
    </row>
    <row r="12" spans="1:2" x14ac:dyDescent="0.25">
      <c r="A12" t="s">
        <v>71</v>
      </c>
      <c r="B12" s="18">
        <f>-Assumptions!B30</f>
        <v>-7814000000</v>
      </c>
    </row>
    <row r="13" spans="1:2" x14ac:dyDescent="0.25">
      <c r="A13" t="s">
        <v>72</v>
      </c>
      <c r="B13" s="18">
        <f>B11+B12</f>
        <v>5495181065.168407</v>
      </c>
    </row>
    <row r="14" spans="1:2" x14ac:dyDescent="0.25">
      <c r="A14" s="19" t="s">
        <v>73</v>
      </c>
      <c r="B14" s="24">
        <f>B13/Assumptions!B31</f>
        <v>10.711853928203523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1817803719.1427233</v>
      </c>
    </row>
    <row r="18" spans="1:2" x14ac:dyDescent="0.25">
      <c r="A18" t="s">
        <v>68</v>
      </c>
      <c r="B18" s="18">
        <f>B17*Assumptions!B13</f>
        <v>31935849059.931873</v>
      </c>
    </row>
    <row r="19" spans="1:2" x14ac:dyDescent="0.25">
      <c r="A19" t="s">
        <v>69</v>
      </c>
      <c r="B19" s="18">
        <f>B18/(1+Assumptions!B26)^(10-0.5*Assumptions!B32)</f>
        <v>16813252939.019693</v>
      </c>
    </row>
    <row r="20" spans="1:2" x14ac:dyDescent="0.25">
      <c r="A20" t="s">
        <v>70</v>
      </c>
      <c r="B20" s="18">
        <f>Forecast!B17+B19</f>
        <v>22243403119.77135</v>
      </c>
    </row>
    <row r="21" spans="1:2" x14ac:dyDescent="0.25">
      <c r="A21" t="s">
        <v>71</v>
      </c>
      <c r="B21" s="18">
        <f>-Assumptions!B30</f>
        <v>-7814000000</v>
      </c>
    </row>
    <row r="22" spans="1:2" x14ac:dyDescent="0.25">
      <c r="A22" t="s">
        <v>72</v>
      </c>
      <c r="B22" s="18">
        <f>B20+B21</f>
        <v>14429403119.77135</v>
      </c>
    </row>
    <row r="23" spans="1:2" x14ac:dyDescent="0.25">
      <c r="A23" s="19" t="s">
        <v>73</v>
      </c>
      <c r="B23" s="25">
        <f>B22/Assumptions!B31</f>
        <v>28.127491461542593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24.22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10.711853928203523</v>
      </c>
    </row>
    <row r="29" spans="1:2" x14ac:dyDescent="0.25">
      <c r="A29" s="19" t="s">
        <v>81</v>
      </c>
      <c r="B29" s="11">
        <f>B28/B26-1</f>
        <v>-0.557726922865255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0.049865</v>
      </c>
      <c r="B5" s="31">
        <v>22.173449514501748</v>
      </c>
      <c r="C5" s="31">
        <v>21.627426423268858</v>
      </c>
      <c r="D5" s="31">
        <v>21.081403332035965</v>
      </c>
      <c r="E5" s="31">
        <v>20.535380240803086</v>
      </c>
      <c r="F5" s="31">
        <v>19.98935714957019</v>
      </c>
    </row>
    <row r="6" spans="1:6" x14ac:dyDescent="0.25">
      <c r="A6" s="30">
        <v>0.059865</v>
      </c>
      <c r="B6" s="31">
        <v>15.889736270224216</v>
      </c>
      <c r="C6" s="31">
        <v>15.460264856747916</v>
      </c>
      <c r="D6" s="31">
        <v>15.030793443271607</v>
      </c>
      <c r="E6" s="31">
        <v>14.601322029795307</v>
      </c>
      <c r="F6" s="31">
        <v>14.171850616319002</v>
      </c>
    </row>
    <row r="7" spans="1:6" x14ac:dyDescent="0.25">
      <c r="A7" s="30">
        <v>0.069865</v>
      </c>
      <c r="B7" s="31">
        <v>11.407601498866592</v>
      </c>
      <c r="C7" s="31">
        <v>11.05979535736042</v>
      </c>
      <c r="D7" s="32">
        <v>10.711989215854244</v>
      </c>
      <c r="E7" s="31">
        <v>10.36418307434807</v>
      </c>
      <c r="F7" s="31">
        <v>10.016376932841894</v>
      </c>
    </row>
    <row r="8" spans="1:6" x14ac:dyDescent="0.25">
      <c r="A8" s="30">
        <v>0.079865</v>
      </c>
      <c r="B8" s="31">
        <v>8.050385366402665</v>
      </c>
      <c r="C8" s="31">
        <v>7.762571280235313</v>
      </c>
      <c r="D8" s="31">
        <v>7.474757194067957</v>
      </c>
      <c r="E8" s="31">
        <v>7.186943107900601</v>
      </c>
      <c r="F8" s="31">
        <v>6.899129021733253</v>
      </c>
    </row>
    <row r="9" spans="1:6" x14ac:dyDescent="0.25">
      <c r="A9" s="30">
        <v>0.089865</v>
      </c>
      <c r="B9" s="31">
        <v>5.442590452070199</v>
      </c>
      <c r="C9" s="31">
        <v>5.2004181696813925</v>
      </c>
      <c r="D9" s="31">
        <v>4.958245887292583</v>
      </c>
      <c r="E9" s="31">
        <v>4.716073604903773</v>
      </c>
      <c r="F9" s="31">
        <v>4.473901322514971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11244000000</v>
      </c>
      <c r="C5" s="18">
        <v>10636000000</v>
      </c>
      <c r="D5" s="18">
        <v>10360000000</v>
      </c>
      <c r="E5" s="18">
        <v>10057000000</v>
      </c>
      <c r="F5" s="6" t="s">
        <v>91</v>
      </c>
    </row>
    <row r="6" spans="1:6" x14ac:dyDescent="0.25">
      <c r="A6" t="s">
        <v>51</v>
      </c>
      <c r="B6" s="18">
        <v>177000000</v>
      </c>
      <c r="C6" s="18">
        <v>439000000</v>
      </c>
      <c r="D6" s="18">
        <v>707000000</v>
      </c>
      <c r="E6" s="18">
        <v>-33000000</v>
      </c>
      <c r="F6" s="6" t="s">
        <v>92</v>
      </c>
    </row>
    <row r="7" spans="1:6" x14ac:dyDescent="0.25">
      <c r="A7" t="s">
        <v>93</v>
      </c>
      <c r="B7" s="18">
        <v>981000000</v>
      </c>
      <c r="C7" s="18">
        <v>997000000</v>
      </c>
      <c r="D7" s="18">
        <v>984000000</v>
      </c>
      <c r="E7" s="18">
        <v>1072000000</v>
      </c>
      <c r="F7" s="6" t="s">
        <v>94</v>
      </c>
    </row>
    <row r="8" spans="1:6" x14ac:dyDescent="0.25">
      <c r="A8" t="s">
        <v>95</v>
      </c>
      <c r="B8" s="18">
        <v>522000000</v>
      </c>
      <c r="C8" s="18">
        <v>460000000</v>
      </c>
      <c r="D8" s="18">
        <v>436000000</v>
      </c>
      <c r="E8" s="18">
        <v>635000000</v>
      </c>
      <c r="F8" s="6" t="s">
        <v>96</v>
      </c>
    </row>
    <row r="9" spans="1:6" x14ac:dyDescent="0.25">
      <c r="A9" t="s">
        <v>97</v>
      </c>
      <c r="B9" s="18">
        <v>108000000</v>
      </c>
      <c r="C9" s="18">
        <v>236000000</v>
      </c>
      <c r="D9" s="18">
        <v>-161000000</v>
      </c>
      <c r="E9" s="18">
        <v>606000000</v>
      </c>
      <c r="F9" s="6" t="s">
        <v>98</v>
      </c>
    </row>
    <row r="10" spans="1:6" x14ac:dyDescent="0.25">
      <c r="A10" t="s">
        <v>99</v>
      </c>
      <c r="B10" s="18">
        <v>9780000000</v>
      </c>
      <c r="C10" s="18">
        <v>13449000000</v>
      </c>
      <c r="D10" s="18">
        <v>14113000000</v>
      </c>
      <c r="E10" s="18">
        <v>17203000000</v>
      </c>
      <c r="F10" s="6" t="s">
        <v>100</v>
      </c>
    </row>
    <row r="11" spans="1:6" x14ac:dyDescent="0.25">
      <c r="A11" t="s">
        <v>101</v>
      </c>
      <c r="B11" s="18">
        <v>1966000000</v>
      </c>
      <c r="C11" s="18">
        <v>1764000000</v>
      </c>
      <c r="D11" s="18">
        <v>3078000000</v>
      </c>
      <c r="E11" s="18">
        <v>1718000000</v>
      </c>
      <c r="F11" s="6" t="s">
        <v>102</v>
      </c>
    </row>
    <row r="12" spans="1:6" x14ac:dyDescent="0.25">
      <c r="A12" t="s">
        <v>34</v>
      </c>
      <c r="B12" s="34">
        <v>513000000</v>
      </c>
      <c r="C12" s="34">
        <v>510000000</v>
      </c>
      <c r="D12" s="34">
        <v>508000000</v>
      </c>
      <c r="E12" s="34">
        <v>504000000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