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<sst xmlns="http://schemas.openxmlformats.org/spreadsheetml/2006/main" count="113" uniqueCount="101">
  <si>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Bayer Aktiengesellschaft (BAYN.DE)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</si>
  <si>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</si>
  <si>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</si>
  <si>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</si>
  <si>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</si>
  <si>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</si>
  <si>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</si>
  <si>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</si>
  <si>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</si>
  <si>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</si>
  <si>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</si>
  <si>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</si>
  <si>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</si>
  <si>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</si>
  <si>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</si>
  <si>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</si>
  <si>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</si>
  <si>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</si>
  <si>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</si>
  <si>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</si>
  <si>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</si>
  <si>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</si>
  <si>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</si>
  <si>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</si>
  <si>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</si>
  <si>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</si>
  <si>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</si>
  <si>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</si>
  <si>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</si>
  <si>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</si>
  <si>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</si>
  <si>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</si>
  <si>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</si>
  <si>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</si>
  <si>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</si>
  <si>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</si>
  <si>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</si>
  <si>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</si>
  <si>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</si>
  <si>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</si>
  <si>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</si>
  <si>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</si>
  <si>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</si>
  <si>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</si>
  <si>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</si>
  <si>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</si>
  <si>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</si>
  <si>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</si>
  <si>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</si>
  <si>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</si>
  <si>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</si>
  <si>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</si>
  <si>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</si>
  <si>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</si>
  <si>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</si>
  <si>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</si>
  <si>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</si>
  <si>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</si>
  <si>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</si>
  <si>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</si>
  <si>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</si>
  <si>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</si>
  <si>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</si>
  <si>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</si>
  <si>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</si>
  <si>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</si>
  <si>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</si>
  <si>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</si>
  <si>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</si>
  <si>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</si>
  <si>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</si>
  <si>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</si>
  <si>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</si>
  <si>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</si>
  <si>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</si>
  <si>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</si>
  <si>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</si>
  <si>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</si>
  <si>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</si>
  <si>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</si>
  <si>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</si>
  <si>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</si>
  <si>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</si>
  <si>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</si>
  <si>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</si>
  <si>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</si>
  <si>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</si>
  <si>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</si>
  <si>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</si>
  <si>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</si>
  <si>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</si>
  <si>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</si>
  <si>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</si>
  <si>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</si>
  <si>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</si>
  <si>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</si>
  <si>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</si>
  <si>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</si>
  <si>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5.75% of revenue against depreciation of 14.70%. A business cannot depreciate more than it invests indefinitely. Capex has been set to 14.70% of revenue so the forecast is not handed free growth. Override it if the reported figure is right.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</si>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</sst>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-0.035146023097507695</v>
      </c>
    </row>
    <row r="7" spans="1:2" x14ac:dyDescent="0.25">
      <c r="A7" t="s">
        <v>5</v>
      </c>
      <c r="B7" s="6">
        <v>0.12982575998092172</v>
      </c>
    </row>
    <row r="8" spans="1:2" x14ac:dyDescent="0.25">
      <c r="A8" t="s">
        <v>6</v>
      </c>
      <c r="B8" s="6">
        <v>0.10792291220556745</v>
      </c>
    </row>
    <row r="9" spans="1:2" x14ac:dyDescent="0.25">
      <c r="A9" t="s">
        <v>7</v>
      </c>
      <c r="B9" s="6">
        <v>0.14701665165207656</v>
      </c>
    </row>
    <row r="10" spans="1:2" x14ac:dyDescent="0.25">
      <c r="A10" t="s">
        <v>8</v>
      </c>
      <c r="B10" s="6">
        <v>0.14701665165207656</v>
      </c>
    </row>
    <row r="11" spans="1:2" x14ac:dyDescent="0.25">
      <c r="A11" t="s">
        <v>9</v>
      </c>
      <c r="B11" s="6">
        <v>0.08244422890397672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8.498630146122816</v>
      </c>
    </row>
    <row r="14" spans="1:3" x14ac:dyDescent="0.25">
      <c r="A14" t="s">
        <v>12</v>
      </c>
      <c r="B14" s="6">
        <v>0.08628185966823668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0.88878</v>
      </c>
      <c r="C19" s="8" t="s">
        <v>19</v>
      </c>
    </row>
    <row r="20" spans="1:2" x14ac:dyDescent="0.25">
      <c r="A20" t="s">
        <v>20</v>
      </c>
      <c r="B20" s="10">
        <f>B17+B19*B18</f>
        <v>0.0793268</v>
      </c>
    </row>
    <row r="21" spans="1:3" x14ac:dyDescent="0.25">
      <c r="A21" t="s">
        <v>21</v>
      </c>
      <c r="B21" s="6">
        <v>0.05871678548282566</v>
      </c>
      <c r="C21" s="8" t="s">
        <v>22</v>
      </c>
    </row>
    <row r="22" spans="1:2" x14ac:dyDescent="0.25">
      <c r="A22" t="s">
        <v>23</v>
      </c>
      <c r="B22" s="11">
        <v>47244775424</v>
      </c>
    </row>
    <row r="23" spans="1:2" x14ac:dyDescent="0.25">
      <c r="A23" t="s">
        <v>24</v>
      </c>
      <c r="B23" s="11">
        <v>36453000000</v>
      </c>
    </row>
    <row r="24" spans="1:2" x14ac:dyDescent="0.25">
      <c r="A24" t="s">
        <v>25</v>
      </c>
      <c r="B24" s="10">
        <f>B22/(B22+B23)</f>
        <v>0.5644687112012866</v>
      </c>
    </row>
    <row r="25" spans="1:2" x14ac:dyDescent="0.25">
      <c r="A25" t="s">
        <v>26</v>
      </c>
      <c r="B25" s="10">
        <f>1-B24</f>
        <v>0.4355312887987134</v>
      </c>
    </row>
    <row r="26" spans="1:2" x14ac:dyDescent="0.25">
      <c r="A26" t="s">
        <v>27</v>
      </c>
      <c r="B26" s="12">
        <f>B24*B20+B25*B21*(1-B8)</f>
        <v>0.06759058147754143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45575000000</v>
      </c>
      <c r="C29" s="8" t="s">
        <v>30</v>
      </c>
    </row>
    <row r="30" spans="1:2" x14ac:dyDescent="0.25">
      <c r="A30" t="s">
        <v>31</v>
      </c>
      <c r="B30" s="11">
        <v>28597000000</v>
      </c>
    </row>
    <row r="31" spans="1:2" x14ac:dyDescent="0.25">
      <c r="A31" t="s">
        <v>32</v>
      </c>
      <c r="B31" s="13">
        <v>982420000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-0.035146023097507695</v>
      </c>
      <c r="C5" s="10">
        <f>Assumptions!B6</f>
        <v>-0.035146023097507695</v>
      </c>
      <c r="D5" s="10">
        <f>Assumptions!B6</f>
        <v>-0.035146023097507695</v>
      </c>
      <c r="E5" s="10">
        <f>Assumptions!B6</f>
        <v>-0.035146023097507695</v>
      </c>
      <c r="F5" s="10">
        <f>Assumptions!B6</f>
        <v>-0.035146023097507695</v>
      </c>
    </row>
    <row r="6" spans="1:6" x14ac:dyDescent="0.25">
      <c r="A6" t="s">
        <v>43</v>
      </c>
      <c r="B6" s="18">
        <f>Assumptions!B29*(1+B5)</f>
        <v>43973219997.331085</v>
      </c>
      <c r="C6" s="18">
        <f>B6*(1+C5)</f>
        <v>42427736191.6331</v>
      </c>
      <c r="D6" s="18">
        <f>C6*(1+D5)</f>
        <v>40936569995.467</v>
      </c>
      <c r="E6" s="18">
        <f>D6*(1+E5)</f>
        <v>39497812360.87358</v>
      </c>
      <c r="F6" s="18">
        <f>E6*(1+F5)</f>
        <v>38109621335.337296</v>
      </c>
    </row>
    <row r="7" spans="1:6" x14ac:dyDescent="0.25">
      <c r="A7" t="s">
        <v>5</v>
      </c>
      <c r="B7" s="10">
        <f>Assumptions!B7</f>
        <v>0.12982575998092172</v>
      </c>
      <c r="C7" s="10">
        <f>Assumptions!B7</f>
        <v>0.12982575998092172</v>
      </c>
      <c r="D7" s="10">
        <f>Assumptions!B7</f>
        <v>0.12982575998092172</v>
      </c>
      <c r="E7" s="10">
        <f>Assumptions!B7</f>
        <v>0.12982575998092172</v>
      </c>
      <c r="F7" s="10">
        <f>Assumptions!B7</f>
        <v>0.12982575998092172</v>
      </c>
    </row>
    <row r="8" spans="1:6" x14ac:dyDescent="0.25">
      <c r="A8" t="s">
        <v>44</v>
      </c>
      <c r="B8" s="18">
        <f>B6*B7</f>
        <v>5708856704.961773</v>
      </c>
      <c r="C8" s="18">
        <f>C6*C7</f>
        <v>5508213095.3488245</v>
      </c>
      <c r="D8" s="18">
        <f>D6*D7</f>
        <v>5314621310.6737</v>
      </c>
      <c r="E8" s="18">
        <f>E6*E7</f>
        <v>5127833507.334256</v>
      </c>
      <c r="F8" s="18">
        <f>F6*F7</f>
        <v>4947610552.445313</v>
      </c>
    </row>
    <row r="9" spans="1:6" x14ac:dyDescent="0.25">
      <c r="A9" t="s">
        <v>45</v>
      </c>
      <c r="B9" s="18">
        <f>B8*(1-Assumptions!B8)</f>
        <v>5092740263.998018</v>
      </c>
      <c r="C9" s="18">
        <f>C8*(1-Assumptions!B8)</f>
        <v>4913750697.049936</v>
      </c>
      <c r="D9" s="18">
        <f>D8*(1-Assumptions!B8)</f>
        <v>4741051901.556025</v>
      </c>
      <c r="E9" s="18">
        <f>E8*(1-Assumptions!B8)</f>
        <v>4574422781.917454</v>
      </c>
      <c r="F9" s="18">
        <f>F8*(1-Assumptions!B8)</f>
        <v>4413650013.166419</v>
      </c>
    </row>
    <row r="10" spans="1:6" x14ac:dyDescent="0.25">
      <c r="A10" t="s">
        <v>46</v>
      </c>
      <c r="B10" s="18">
        <f>B6*Assumptions!B9</f>
        <v>6464795566.367751</v>
      </c>
      <c r="C10" s="18">
        <f>C6*Assumptions!B9</f>
        <v>6237583712.071526</v>
      </c>
      <c r="D10" s="18">
        <f>D6*Assumptions!B9</f>
        <v>6018357450.854422</v>
      </c>
      <c r="E10" s="18">
        <f>E6*Assumptions!B9</f>
        <v>5806836120.877635</v>
      </c>
      <c r="F10" s="18">
        <f>F6*Assumptions!B9</f>
        <v>5602748924.449828</v>
      </c>
    </row>
    <row r="11" spans="1:6" x14ac:dyDescent="0.25">
      <c r="A11" t="s">
        <v>47</v>
      </c>
      <c r="B11" s="18">
        <f>-B6*Assumptions!B10</f>
        <v>-6464795566.367751</v>
      </c>
      <c r="C11" s="18">
        <f>-C6*Assumptions!B10</f>
        <v>-6237583712.071526</v>
      </c>
      <c r="D11" s="18">
        <f>-D6*Assumptions!B10</f>
        <v>-6018357450.854422</v>
      </c>
      <c r="E11" s="18">
        <f>-E6*Assumptions!B10</f>
        <v>-5806836120.877635</v>
      </c>
      <c r="F11" s="18">
        <f>-F6*Assumptions!B10</f>
        <v>-5602748924.449828</v>
      </c>
    </row>
    <row r="12" spans="1:6" x14ac:dyDescent="0.25">
      <c r="A12" t="s">
        <v>48</v>
      </c>
      <c r="B12" s="18">
        <f>-(B6-Assumptions!B29)*Assumptions!B11</f>
        <v>132057517.19384846</v>
      </c>
      <c r="C12" s="18">
        <f>-(C6-B6)*Assumptions!B11</f>
        <v>127416220.64435357</v>
      </c>
      <c r="D12" s="18">
        <f>-(D6-C6)*Assumptions!B11</f>
        <v>122938047.21059017</v>
      </c>
      <c r="E12" s="18">
        <f>-(E6-D6)*Assumptions!B11</f>
        <v>118617263.76376417</v>
      </c>
      <c r="F12" s="18">
        <f>-(F6-E6)*Assumptions!B11</f>
        <v>114448338.67175971</v>
      </c>
    </row>
    <row r="13" spans="1:6" x14ac:dyDescent="0.25">
      <c r="A13" s="19" t="s">
        <v>49</v>
      </c>
      <c r="B13" s="20">
        <f>B9+B10+B11+B12</f>
        <v>5224797781.191866</v>
      </c>
      <c r="C13" s="20">
        <f>C9+C10+C11+C12</f>
        <v>5041166917.69429</v>
      </c>
      <c r="D13" s="20">
        <f>D9+D10+D11+D12</f>
        <v>4863989948.766615</v>
      </c>
      <c r="E13" s="20">
        <f>E9+E10+E11+E12</f>
        <v>4693040045.681219</v>
      </c>
      <c r="F13" s="20">
        <f>F9+F10+F11+F12</f>
        <v>4528098351.838179</v>
      </c>
    </row>
    <row r="14" spans="1:6" x14ac:dyDescent="0.25">
      <c r="A14" t="s">
        <v>50</v>
      </c>
      <c r="B14" s="21">
        <f>1/(1+Assumptions!$B$26)^(1-0.5*Assumptions!$B$32)</f>
        <v>0.9678267759519709</v>
      </c>
      <c r="C14" s="21">
        <f>1/(1+Assumptions!$B$26)^(2-0.5*Assumptions!$B$32)</f>
        <v>0.9065523738627427</v>
      </c>
      <c r="D14" s="21">
        <f>1/(1+Assumptions!$B$26)^(3-0.5*Assumptions!$B$32)</f>
        <v>0.8491573357719936</v>
      </c>
      <c r="E14" s="21">
        <f>1/(1+Assumptions!$B$26)^(4-0.5*Assumptions!$B$32)</f>
        <v>0.7953960539786357</v>
      </c>
      <c r="F14" s="21">
        <f>1/(1+Assumptions!$B$26)^(5-0.5*Assumptions!$B$32)</f>
        <v>0.7450384705322244</v>
      </c>
    </row>
    <row r="15" spans="1:6" x14ac:dyDescent="0.25">
      <c r="A15" s="19" t="s">
        <v>51</v>
      </c>
      <c r="B15" s="20">
        <f>B13*B14</f>
        <v>5056699191.571935</v>
      </c>
      <c r="C15" s="20">
        <f>C13*C14</f>
        <v>4570081836.274084</v>
      </c>
      <c r="D15" s="20">
        <f>D13*D14</f>
        <v>4130292746.1164145</v>
      </c>
      <c r="E15" s="20">
        <f>E13*E14</f>
        <v>3732825533.4985576</v>
      </c>
      <c r="F15" s="20">
        <f>F13*F14</f>
        <v>3373607470.4730024</v>
      </c>
    </row>
    <row r="17" spans="1:2" x14ac:dyDescent="0.25">
      <c r="A17" s="22" t="s">
        <v>52</v>
      </c>
      <c r="B17" s="23">
        <f>SUM(B15:F15)</f>
        <v>20863506777.933994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4528098351.838179</v>
      </c>
    </row>
    <row r="5" spans="1:2" x14ac:dyDescent="0.25">
      <c r="A5" t="s">
        <v>56</v>
      </c>
      <c r="B5" s="18">
        <f>IF(Assumptions!$B$33=0,B4,B4-Forecast!F11-Forecast!F10-Forecast!F12)</f>
        <v>4413650013.166419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0.28974804317069397</v>
      </c>
    </row>
    <row r="7" spans="1:2" x14ac:dyDescent="0.25">
      <c r="A7" t="s">
        <v>58</v>
      </c>
      <c r="B7" s="18">
        <f>-MAX(Forecast!F9,0)*B6</f>
        <v>-1278846454.5552776</v>
      </c>
    </row>
    <row r="8" spans="1:2" x14ac:dyDescent="0.25">
      <c r="A8" t="s">
        <v>59</v>
      </c>
      <c r="B8" s="18">
        <f>IF(OR(Assumptions!$B$33=0,Assumptions!B12&lt;=0),B5,MAX(B5+B7,0))</f>
        <v>3134803558.611141</v>
      </c>
    </row>
    <row r="9" spans="1:2" x14ac:dyDescent="0.25">
      <c r="A9" t="s">
        <v>60</v>
      </c>
      <c r="B9" s="18">
        <f>B8*(1+Assumptions!B12)/(Assumptions!B26-Assumptions!B12)</f>
        <v>75443291359.3999</v>
      </c>
    </row>
    <row r="10" spans="1:2" x14ac:dyDescent="0.25">
      <c r="A10" t="s">
        <v>61</v>
      </c>
      <c r="B10" s="18">
        <f>B9/(1+Assumptions!B26)^(5-0.5*Assumptions!B32)</f>
        <v>56208154406.32428</v>
      </c>
    </row>
    <row r="11" spans="1:2" x14ac:dyDescent="0.25">
      <c r="A11" t="s">
        <v>62</v>
      </c>
      <c r="B11" s="18">
        <f>Forecast!B17+B10</f>
        <v>77071661184.25827</v>
      </c>
    </row>
    <row r="12" spans="1:2" x14ac:dyDescent="0.25">
      <c r="A12" t="s">
        <v>63</v>
      </c>
      <c r="B12" s="18">
        <f>-Assumptions!B30</f>
        <v>-28597000000</v>
      </c>
    </row>
    <row r="13" spans="1:2" x14ac:dyDescent="0.25">
      <c r="A13" t="s">
        <v>64</v>
      </c>
      <c r="B13" s="18">
        <f>B11+B12</f>
        <v>48474661184.25827</v>
      </c>
    </row>
    <row r="14" spans="1:2" x14ac:dyDescent="0.25">
      <c r="A14" s="19" t="s">
        <v>65</v>
      </c>
      <c r="B14" s="24">
        <f>B13/Assumptions!B31</f>
        <v>49.342095218194125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10550359476.895142</v>
      </c>
    </row>
    <row r="18" spans="1:2" x14ac:dyDescent="0.25">
      <c r="A18" t="s">
        <v>60</v>
      </c>
      <c r="B18" s="18">
        <f>B17*Assumptions!B13</f>
        <v>89663603102.77359</v>
      </c>
    </row>
    <row r="19" spans="1:2" x14ac:dyDescent="0.25">
      <c r="A19" t="s">
        <v>61</v>
      </c>
      <c r="B19" s="18">
        <f>B18/(1+Assumptions!B26)^(5-0.5*Assumptions!B32)</f>
        <v>66802833718.09885</v>
      </c>
    </row>
    <row r="20" spans="1:2" x14ac:dyDescent="0.25">
      <c r="A20" t="s">
        <v>62</v>
      </c>
      <c r="B20" s="18">
        <f>Forecast!B17+B19</f>
        <v>87666340496.03284</v>
      </c>
    </row>
    <row r="21" spans="1:2" x14ac:dyDescent="0.25">
      <c r="A21" t="s">
        <v>63</v>
      </c>
      <c r="B21" s="18">
        <f>-Assumptions!B30</f>
        <v>-28597000000</v>
      </c>
    </row>
    <row r="22" spans="1:2" x14ac:dyDescent="0.25">
      <c r="A22" t="s">
        <v>64</v>
      </c>
      <c r="B22" s="18">
        <f>B20+B21</f>
        <v>59069340496.03284</v>
      </c>
    </row>
    <row r="23" spans="1:2" x14ac:dyDescent="0.25">
      <c r="A23" s="19" t="s">
        <v>65</v>
      </c>
      <c r="B23" s="25">
        <f>B22/Assumptions!B31</f>
        <v>60.12636193891903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48.09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49.342095218194125</v>
      </c>
    </row>
    <row r="29" spans="1:2" x14ac:dyDescent="0.25">
      <c r="A29" s="19" t="s">
        <v>73</v>
      </c>
      <c r="B29" s="12">
        <f>B28/B26-1</f>
        <v>0.026036498610815473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0.047591</v>
      </c>
      <c r="B5" s="31">
        <v>86.84980965544979</v>
      </c>
      <c r="C5" s="31">
        <v>96.58070776089393</v>
      </c>
      <c r="D5" s="31">
        <v>110.52554099106226</v>
      </c>
      <c r="E5" s="31">
        <v>132.2775687894693</v>
      </c>
      <c r="F5" s="31">
        <v>171.1377139202785</v>
      </c>
    </row>
    <row r="6" spans="1:6" x14ac:dyDescent="0.25">
      <c r="A6" s="30">
        <v>0.057591</v>
      </c>
      <c r="B6" s="31">
        <v>61.34531576176584</v>
      </c>
      <c r="C6" s="31">
        <v>65.38281169495193</v>
      </c>
      <c r="D6" s="31">
        <v>70.59705503769972</v>
      </c>
      <c r="E6" s="31">
        <v>77.62779103822162</v>
      </c>
      <c r="F6" s="31">
        <v>87.68113672837146</v>
      </c>
    </row>
    <row r="7" spans="1:6" x14ac:dyDescent="0.25">
      <c r="A7" s="30">
        <v>0.067591</v>
      </c>
      <c r="B7" s="31">
        <v>45.49755486940094</v>
      </c>
      <c r="C7" s="31">
        <v>47.23794102057697</v>
      </c>
      <c r="D7" s="32">
        <v>49.341412935426405</v>
      </c>
      <c r="E7" s="31">
        <v>51.95285333734324</v>
      </c>
      <c r="F7" s="31">
        <v>55.30605460170748</v>
      </c>
    </row>
    <row r="8" spans="1:6" x14ac:dyDescent="0.25">
      <c r="A8" s="30">
        <v>0.077591</v>
      </c>
      <c r="B8" s="31">
        <v>34.679930700396625</v>
      </c>
      <c r="C8" s="31">
        <v>35.34916398469218</v>
      </c>
      <c r="D8" s="31">
        <v>36.1102828061704</v>
      </c>
      <c r="E8" s="31">
        <v>36.99224816707419</v>
      </c>
      <c r="F8" s="31">
        <v>38.03762065746676</v>
      </c>
    </row>
    <row r="9" spans="1:6" x14ac:dyDescent="0.25">
      <c r="A9" s="30">
        <v>0.087591</v>
      </c>
      <c r="B9" s="31">
        <v>26.927009703533322</v>
      </c>
      <c r="C9" s="31">
        <v>27.102768064495304</v>
      </c>
      <c r="D9" s="31">
        <v>27.27852642545729</v>
      </c>
      <c r="E9" s="31">
        <v>27.454284786419276</v>
      </c>
      <c r="F9" s="31">
        <v>27.630043147381244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45575000000</v>
      </c>
      <c r="C5" s="18">
        <v>46606000000</v>
      </c>
      <c r="D5" s="18">
        <v>47637000000</v>
      </c>
      <c r="E5" s="18">
        <v>50739000000</v>
      </c>
      <c r="F5" s="8" t="s">
        <v>84</v>
      </c>
    </row>
    <row r="6" spans="1:6" x14ac:dyDescent="0.25">
      <c r="A6" t="s">
        <v>44</v>
      </c>
      <c r="B6" s="18">
        <v>6139000000</v>
      </c>
      <c r="C6" s="18">
        <v>3327000000</v>
      </c>
      <c r="D6" s="18">
        <v>8036000000</v>
      </c>
      <c r="E6" s="18">
        <v>7333000000</v>
      </c>
      <c r="F6" s="8" t="s">
        <v>85</v>
      </c>
    </row>
    <row r="7" spans="1:6" x14ac:dyDescent="0.25">
      <c r="A7" t="s">
        <v>86</v>
      </c>
      <c r="B7" s="18">
        <v>2785000000</v>
      </c>
      <c r="C7" s="18">
        <v>8783000000</v>
      </c>
      <c r="D7" s="18">
        <v>10020000000</v>
      </c>
      <c r="E7" s="18">
        <v>6503000000</v>
      </c>
      <c r="F7" s="8" t="s">
        <v>87</v>
      </c>
    </row>
    <row r="8" spans="1:6" x14ac:dyDescent="0.25">
      <c r="A8" t="s">
        <v>88</v>
      </c>
      <c r="B8" s="18">
        <v>2487000000</v>
      </c>
      <c r="C8" s="18">
        <v>2778000000</v>
      </c>
      <c r="D8" s="18">
        <v>2751000000</v>
      </c>
      <c r="E8" s="18">
        <v>2949000000</v>
      </c>
      <c r="F8" s="8" t="s">
        <v>89</v>
      </c>
    </row>
    <row r="9" spans="1:6" x14ac:dyDescent="0.25">
      <c r="A9" t="s">
        <v>90</v>
      </c>
      <c r="B9" s="18">
        <v>-5934000000</v>
      </c>
      <c r="C9" s="18">
        <v>-85000000</v>
      </c>
      <c r="D9" s="18">
        <v>4065000000</v>
      </c>
      <c r="E9" s="18">
        <v>2696000000</v>
      </c>
      <c r="F9" s="8" t="s">
        <v>91</v>
      </c>
    </row>
    <row r="10" spans="1:6" x14ac:dyDescent="0.25">
      <c r="A10" t="s">
        <v>92</v>
      </c>
      <c r="B10" s="18">
        <v>36453000000</v>
      </c>
      <c r="C10" s="18">
        <v>40697000000</v>
      </c>
      <c r="D10" s="18">
        <v>42874000000</v>
      </c>
      <c r="E10" s="18">
        <v>41320000000</v>
      </c>
      <c r="F10" s="8" t="s">
        <v>93</v>
      </c>
    </row>
    <row r="11" spans="1:6" x14ac:dyDescent="0.25">
      <c r="A11" t="s">
        <v>94</v>
      </c>
      <c r="B11" s="18">
        <v>7856000000</v>
      </c>
      <c r="C11" s="18">
        <v>8087000000</v>
      </c>
      <c r="D11" s="18">
        <v>10587000000</v>
      </c>
      <c r="E11" s="18">
        <v>10153000000</v>
      </c>
      <c r="F11" s="8" t="s">
        <v>95</v>
      </c>
    </row>
    <row r="12" spans="1:6" x14ac:dyDescent="0.25">
      <c r="A12" t="s">
        <v>32</v>
      </c>
      <c r="B12" s="34">
        <v>982420000</v>
      </c>
      <c r="C12" s="34">
        <v>982420000</v>
      </c>
      <c r="D12" s="34">
        <v>982420000</v>
      </c>
      <c r="E12" s="34">
        <v>982420000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2026-09-19T00:07:17Z</dcterms:modified>
</cp:coreProperties>
</file>