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<sst xmlns="http://schemas.openxmlformats.org/spreadsheetml/2006/main" count="114" uniqueCount="102">
  <si>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Banco Bilbao Vizcaya Argentaria, S.A. (BBVA.MC)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</si>
  <si>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</si>
  <si>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</si>
  <si>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</si>
  <si>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</si>
  <si>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</si>
  <si>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</si>
  <si>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</si>
  <si>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</si>
  <si>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</si>
  <si>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</si>
  <si>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</si>
  <si>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</si>
  <si>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</si>
  <si>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</si>
  <si>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</si>
  <si>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</si>
  <si>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</si>
  <si>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</si>
  <si>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</si>
  <si>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</si>
  <si>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</si>
  <si>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38.8%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</si>
  <si>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</si>
  <si>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</si>
  <si>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</si>
  <si>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</si>
  <si>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</si>
  <si>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</si>
  <si>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</si>
  <si>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</si>
  <si>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</si>
  <si>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</si>
  <si>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</si>
  <si>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</si>
  <si>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</si>
  <si>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</si>
  <si>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</si>
  <si>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</si>
  <si>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</si>
  <si>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</si>
  <si>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</si>
  <si>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</si>
  <si>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</si>
  <si>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</si>
  <si>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</si>
  <si>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</si>
  <si>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</si>
  <si>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</si>
  <si>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</si>
  <si>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</si>
  <si>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</si>
  <si>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</si>
  <si>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</si>
  <si>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</si>
  <si>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</si>
  <si>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</si>
  <si>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</si>
  <si>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</si>
  <si>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</si>
  <si>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</si>
  <si>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</si>
  <si>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</si>
  <si>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</si>
  <si>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</si>
  <si>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</si>
  <si>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</si>
  <si>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</si>
  <si>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</si>
  <si>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</si>
  <si>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</si>
  <si>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</si>
  <si>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</si>
  <si>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</si>
  <si>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</si>
  <si>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</si>
  <si>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</si>
  <si>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</si>
  <si>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</si>
  <si>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</si>
  <si>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</si>
  <si>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</si>
  <si>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</si>
  <si>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</si>
  <si>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</si>
  <si>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</si>
  <si>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</si>
  <si>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</si>
  <si>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</si>
  <si>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</si>
  <si>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</si>
  <si>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</si>
  <si>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</si>
  <si>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</si>
  <si>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</si>
  <si>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</si>
  <si>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</si>
  <si>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</si>
  <si>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</si>
  <si>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6.0%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</si>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</sst>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0.11986454426528059</v>
      </c>
    </row>
    <row r="7" spans="1:2" x14ac:dyDescent="0.25">
      <c r="A7" t="s">
        <v>5</v>
      </c>
      <c r="B7" s="6">
        <v>0.38543028768786325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0.04173810233705443</v>
      </c>
    </row>
    <row r="10" spans="1:2" x14ac:dyDescent="0.25">
      <c r="A10" t="s">
        <v>8</v>
      </c>
      <c r="B10" s="6">
        <v>0.05962618922606146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8.761348208248817</v>
      </c>
    </row>
    <row r="14" spans="1:3" x14ac:dyDescent="0.25">
      <c r="A14" t="s">
        <v>12</v>
      </c>
      <c r="B14" s="6">
        <v>0.08013613704419625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0.10220950000000001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136081408000</v>
      </c>
    </row>
    <row r="23" spans="1:2" x14ac:dyDescent="0.25">
      <c r="A23" t="s">
        <v>24</v>
      </c>
      <c r="B23" s="11">
        <v>89302000000</v>
      </c>
    </row>
    <row r="24" spans="1:2" x14ac:dyDescent="0.25">
      <c r="A24" t="s">
        <v>25</v>
      </c>
      <c r="B24" s="10">
        <f>B22/(B22+B23)</f>
        <v>0.6037773996211824</v>
      </c>
    </row>
    <row r="25" spans="1:2" x14ac:dyDescent="0.25">
      <c r="A25" t="s">
        <v>26</v>
      </c>
      <c r="B25" s="10">
        <f>1-B24</f>
        <v>0.3962226003788176</v>
      </c>
    </row>
    <row r="26" spans="1:2" x14ac:dyDescent="0.25">
      <c r="A26" t="s">
        <v>27</v>
      </c>
      <c r="B26" s="12">
        <f>B24*B20+B25*B21*(1-B8)</f>
        <v>0.08013613704419625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39415000000</v>
      </c>
      <c r="C29" s="8" t="s">
        <v>30</v>
      </c>
    </row>
    <row r="30" spans="1:2" x14ac:dyDescent="0.25">
      <c r="A30" t="s">
        <v>31</v>
      </c>
      <c r="B30" s="11">
        <v>19415000000</v>
      </c>
    </row>
    <row r="31" spans="1:2" x14ac:dyDescent="0.25">
      <c r="A31" t="s">
        <v>32</v>
      </c>
      <c r="B31" s="13">
        <v>5748000000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0.11986454426528059</v>
      </c>
      <c r="C5" s="10">
        <f>Assumptions!B6</f>
        <v>0.11986454426528059</v>
      </c>
      <c r="D5" s="10">
        <f>Assumptions!B6</f>
        <v>0.11986454426528059</v>
      </c>
      <c r="E5" s="10">
        <f>Assumptions!B6</f>
        <v>0.11986454426528059</v>
      </c>
      <c r="F5" s="10">
        <f>Assumptions!B6</f>
        <v>0.11986454426528059</v>
      </c>
    </row>
    <row r="6" spans="1:6" x14ac:dyDescent="0.25">
      <c r="A6" t="s">
        <v>43</v>
      </c>
      <c r="B6" s="18">
        <f>Assumptions!B29*(1+B5)</f>
        <v>44139461012.216034</v>
      </c>
      <c r="C6" s="18">
        <f>B6*(1+C5)</f>
        <v>49430217390.56043</v>
      </c>
      <c r="D6" s="18">
        <f>C6*(1+D5)</f>
        <v>55355147871.0137</v>
      </c>
      <c r="E6" s="18">
        <f>D6*(1+E5)</f>
        <v>61990267443.309975</v>
      </c>
      <c r="F6" s="18">
        <f>E6*(1+F5)</f>
        <v>69420702599.28519</v>
      </c>
    </row>
    <row r="7" spans="1:6" x14ac:dyDescent="0.25">
      <c r="A7" t="s">
        <v>5</v>
      </c>
      <c r="B7" s="10">
        <f>Assumptions!B7</f>
        <v>0.38543028768786325</v>
      </c>
      <c r="C7" s="10">
        <f>Assumptions!B7</f>
        <v>0.38543028768786325</v>
      </c>
      <c r="D7" s="10">
        <f>Assumptions!B7</f>
        <v>0.38543028768786325</v>
      </c>
      <c r="E7" s="10">
        <f>Assumptions!B7</f>
        <v>0.38543028768786325</v>
      </c>
      <c r="F7" s="10">
        <f>Assumptions!B7</f>
        <v>0.38543028768786325</v>
      </c>
    </row>
    <row r="8" spans="1:6" x14ac:dyDescent="0.25">
      <c r="A8" t="s">
        <v>44</v>
      </c>
      <c r="B8" s="18">
        <f>B6*B7</f>
        <v>17012685156.32565</v>
      </c>
      <c r="C8" s="18">
        <f>C6*C7</f>
        <v>19051902909.31733</v>
      </c>
      <c r="D8" s="18">
        <f>D6*D7</f>
        <v>21335550568.929024</v>
      </c>
      <c r="E8" s="18">
        <f>E6*E7</f>
        <v>23892926614.522545</v>
      </c>
      <c r="F8" s="18">
        <f>F6*F7</f>
        <v>26756841374.336086</v>
      </c>
    </row>
    <row r="9" spans="1:6" x14ac:dyDescent="0.25">
      <c r="A9" t="s">
        <v>45</v>
      </c>
      <c r="B9" s="18">
        <f>B8*(1-Assumptions!B8)</f>
        <v>12759513867.244236</v>
      </c>
      <c r="C9" s="18">
        <f>C8*(1-Assumptions!B8)</f>
        <v>14288927181.987997</v>
      </c>
      <c r="D9" s="18">
        <f>D8*(1-Assumptions!B8)</f>
        <v>16001662926.696768</v>
      </c>
      <c r="E9" s="18">
        <f>E8*(1-Assumptions!B8)</f>
        <v>17919694960.891907</v>
      </c>
      <c r="F9" s="18">
        <f>F8*(1-Assumptions!B8)</f>
        <v>20067631030.752064</v>
      </c>
    </row>
    <row r="10" spans="1:6" x14ac:dyDescent="0.25">
      <c r="A10" t="s">
        <v>46</v>
      </c>
      <c r="B10" s="18">
        <f>B6*Assumptions!B9</f>
        <v>1842297340.830297</v>
      </c>
      <c r="C10" s="18">
        <f>C6*Assumptions!B9</f>
        <v>2063123471.9900591</v>
      </c>
      <c r="D10" s="18">
        <f>D6*Assumptions!B9</f>
        <v>2310418826.7231507</v>
      </c>
      <c r="E10" s="18">
        <f>E6*Assumptions!B9</f>
        <v>2587356126.4502454</v>
      </c>
      <c r="F10" s="18">
        <f>F6*Assumptions!B9</f>
        <v>2897488389.3991857</v>
      </c>
    </row>
    <row r="11" spans="1:6" x14ac:dyDescent="0.25">
      <c r="A11" t="s">
        <v>47</v>
      </c>
      <c r="B11" s="18">
        <f>-B6*Assumptions!B10</f>
        <v>-2631867854.6507554</v>
      </c>
      <c r="C11" s="18">
        <f>-C6*Assumptions!B10</f>
        <v>-2947335495.61491</v>
      </c>
      <c r="D11" s="18">
        <f>-D6*Assumptions!B10</f>
        <v>-3300616521.593676</v>
      </c>
      <c r="E11" s="18">
        <f>-E6*Assumptions!B10</f>
        <v>-3696243416.7489576</v>
      </c>
      <c r="F11" s="18">
        <f>-F6*Assumptions!B10</f>
        <v>-4139291949.391115</v>
      </c>
    </row>
    <row r="12" spans="1:6" x14ac:dyDescent="0.25">
      <c r="A12" t="s">
        <v>48</v>
      </c>
      <c r="B12" s="18">
        <f>-(B6-Assumptions!B29)*Assumptions!B11</f>
        <v>-4724461012.216034</v>
      </c>
      <c r="C12" s="18">
        <f>-(C6-B6)*Assumptions!B11</f>
        <v>-5290756378.3443985</v>
      </c>
      <c r="D12" s="18">
        <f>-(D6-C6)*Assumptions!B11</f>
        <v>-5924930480.45327</v>
      </c>
      <c r="E12" s="18">
        <f>-(E6-D6)*Assumptions!B11</f>
        <v>-6635119572.296272</v>
      </c>
      <c r="F12" s="18">
        <f>-(F6-E6)*Assumptions!B11</f>
        <v>-7430435155.975212</v>
      </c>
    </row>
    <row r="13" spans="1:6" x14ac:dyDescent="0.25">
      <c r="A13" s="19" t="s">
        <v>49</v>
      </c>
      <c r="B13" s="20">
        <f>B9+B10+B11+B12</f>
        <v>7245482341.207745</v>
      </c>
      <c r="C13" s="20">
        <f>C9+C10+C11+C12</f>
        <v>8113958780.018747</v>
      </c>
      <c r="D13" s="20">
        <f>D9+D10+D11+D12</f>
        <v>9086534751.372972</v>
      </c>
      <c r="E13" s="20">
        <f>E9+E10+E11+E12</f>
        <v>10175688098.29692</v>
      </c>
      <c r="F13" s="20">
        <f>F9+F10+F11+F12</f>
        <v>11395392314.78492</v>
      </c>
    </row>
    <row r="14" spans="1:6" x14ac:dyDescent="0.25">
      <c r="A14" t="s">
        <v>50</v>
      </c>
      <c r="B14" s="21">
        <f>1/(1+Assumptions!$B$26)^(1-0.5*Assumptions!$B$32)</f>
        <v>0.962189807191662</v>
      </c>
      <c r="C14" s="21">
        <f>1/(1+Assumptions!$B$26)^(2-0.5*Assumptions!$B$32)</f>
        <v>0.8908041997601381</v>
      </c>
      <c r="D14" s="21">
        <f>1/(1+Assumptions!$B$26)^(3-0.5*Assumptions!$B$32)</f>
        <v>0.8247147458632698</v>
      </c>
      <c r="E14" s="21">
        <f>1/(1+Assumptions!$B$26)^(4-0.5*Assumptions!$B$32)</f>
        <v>0.7635285197661383</v>
      </c>
      <c r="F14" s="21">
        <f>1/(1+Assumptions!$B$26)^(5-0.5*Assumptions!$B$32)</f>
        <v>0.7068817471985911</v>
      </c>
    </row>
    <row r="15" spans="1:6" x14ac:dyDescent="0.25">
      <c r="A15" s="19" t="s">
        <v>51</v>
      </c>
      <c r="B15" s="20">
        <f>B13*B14</f>
        <v>6971529256.897272</v>
      </c>
      <c r="C15" s="20">
        <f>C13*C14</f>
        <v>7227948557.921347</v>
      </c>
      <c r="D15" s="20">
        <f>D13*D14</f>
        <v>7493799198.2563305</v>
      </c>
      <c r="E15" s="20">
        <f>E13*E14</f>
        <v>7769428071.2945595</v>
      </c>
      <c r="F15" s="20">
        <f>F13*F14</f>
        <v>8055194829.488562</v>
      </c>
    </row>
    <row r="17" spans="1:2" x14ac:dyDescent="0.25">
      <c r="A17" s="22" t="s">
        <v>52</v>
      </c>
      <c r="B17" s="23">
        <f>SUM(B15:F15)</f>
        <v>37517899913.85807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11395392314.78492</v>
      </c>
    </row>
    <row r="5" spans="1:2" x14ac:dyDescent="0.25">
      <c r="A5" t="s">
        <v>56</v>
      </c>
      <c r="B5" s="18">
        <f>IF(Assumptions!$B$33=0,B4,B4-Forecast!F11-Forecast!F10-Forecast!F12)</f>
        <v>20888884732.60035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0.3119691180798013</v>
      </c>
    </row>
    <row r="7" spans="1:2" x14ac:dyDescent="0.25">
      <c r="A7" t="s">
        <v>58</v>
      </c>
      <c r="B7" s="18">
        <f>-MAX(Forecast!F9,0)*B6</f>
        <v>-6516686947.699958</v>
      </c>
    </row>
    <row r="8" spans="1:2" x14ac:dyDescent="0.25">
      <c r="A8" t="s">
        <v>59</v>
      </c>
      <c r="B8" s="18">
        <f>IF(OR(Assumptions!$B$33=0,Assumptions!B12&lt;=0),B5,MAX(B5+B7,0))</f>
        <v>14372197784.90039</v>
      </c>
    </row>
    <row r="9" spans="1:2" x14ac:dyDescent="0.25">
      <c r="A9" t="s">
        <v>60</v>
      </c>
      <c r="B9" s="18">
        <f>B8*(1+Assumptions!B12)/(Assumptions!B26-Assumptions!B12)</f>
        <v>267184164855.69818</v>
      </c>
    </row>
    <row r="10" spans="1:2" x14ac:dyDescent="0.25">
      <c r="A10" t="s">
        <v>61</v>
      </c>
      <c r="B10" s="18">
        <f>B9/(1+Assumptions!B26)^(5-0.5*Assumptions!B32)</f>
        <v>188867609276.99234</v>
      </c>
    </row>
    <row r="11" spans="1:2" x14ac:dyDescent="0.25">
      <c r="A11" t="s">
        <v>62</v>
      </c>
      <c r="B11" s="18">
        <f>Forecast!B17+B10</f>
        <v>226385509190.8504</v>
      </c>
    </row>
    <row r="12" spans="1:2" x14ac:dyDescent="0.25">
      <c r="A12" t="s">
        <v>63</v>
      </c>
      <c r="B12" s="18">
        <f>-Assumptions!B30</f>
        <v>-19415000000</v>
      </c>
    </row>
    <row r="13" spans="1:2" x14ac:dyDescent="0.25">
      <c r="A13" t="s">
        <v>64</v>
      </c>
      <c r="B13" s="18">
        <f>B11+B12</f>
        <v>206970509190.8504</v>
      </c>
    </row>
    <row r="14" spans="1:2" x14ac:dyDescent="0.25">
      <c r="A14" s="19" t="s">
        <v>65</v>
      </c>
      <c r="B14" s="24">
        <f>B13/Assumptions!B31</f>
        <v>36.007395475095755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29654329763.73527</v>
      </c>
    </row>
    <row r="18" spans="1:2" x14ac:dyDescent="0.25">
      <c r="A18" t="s">
        <v>60</v>
      </c>
      <c r="B18" s="18">
        <f>B17*Assumptions!B13</f>
        <v>259811908942.3216</v>
      </c>
    </row>
    <row r="19" spans="1:2" x14ac:dyDescent="0.25">
      <c r="A19" t="s">
        <v>61</v>
      </c>
      <c r="B19" s="18">
        <f>B18/(1+Assumptions!B26)^(5-0.5*Assumptions!B32)</f>
        <v>183656296136.14954</v>
      </c>
    </row>
    <row r="20" spans="1:2" x14ac:dyDescent="0.25">
      <c r="A20" t="s">
        <v>62</v>
      </c>
      <c r="B20" s="18">
        <f>Forecast!B17+B19</f>
        <v>221174196050.0076</v>
      </c>
    </row>
    <row r="21" spans="1:2" x14ac:dyDescent="0.25">
      <c r="A21" t="s">
        <v>63</v>
      </c>
      <c r="B21" s="18">
        <f>-Assumptions!B30</f>
        <v>-19415000000</v>
      </c>
    </row>
    <row r="22" spans="1:2" x14ac:dyDescent="0.25">
      <c r="A22" t="s">
        <v>64</v>
      </c>
      <c r="B22" s="18">
        <f>B20+B21</f>
        <v>201759196050.0076</v>
      </c>
    </row>
    <row r="23" spans="1:2" x14ac:dyDescent="0.25">
      <c r="A23" s="19" t="s">
        <v>65</v>
      </c>
      <c r="B23" s="25">
        <f>B22/Assumptions!B31</f>
        <v>35.10076479645226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36.007395475095755</v>
      </c>
    </row>
    <row r="29" spans="1:2" x14ac:dyDescent="0.25">
      <c r="A29" s="19" t="s">
        <v>73</v>
      </c>
      <c r="B29" s="12">
        <f>B28/B26-1</f>
        <v>0.46015391220988455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0.060136</v>
      </c>
      <c r="B5" s="31">
        <v>54.43186697248355</v>
      </c>
      <c r="C5" s="31">
        <v>56.5878116552462</v>
      </c>
      <c r="D5" s="31">
        <v>59.30724498183544</v>
      </c>
      <c r="E5" s="31">
        <v>62.87063979726718</v>
      </c>
      <c r="F5" s="31">
        <v>67.78163320898244</v>
      </c>
    </row>
    <row r="6" spans="1:6" x14ac:dyDescent="0.25">
      <c r="A6" s="30">
        <v>0.070136</v>
      </c>
      <c r="B6" s="31">
        <v>43.29856855567639</v>
      </c>
      <c r="C6" s="31">
        <v>44.0694979871933</v>
      </c>
      <c r="D6" s="31">
        <v>44.97383361863845</v>
      </c>
      <c r="E6" s="31">
        <v>46.061433258436324</v>
      </c>
      <c r="F6" s="31">
        <v>47.41053461507081</v>
      </c>
    </row>
    <row r="7" spans="1:6" x14ac:dyDescent="0.25">
      <c r="A7" s="30">
        <v>0.080136</v>
      </c>
      <c r="B7" s="31">
        <v>35.686906268947254</v>
      </c>
      <c r="C7" s="31">
        <v>35.847189413117334</v>
      </c>
      <c r="D7" s="32">
        <v>36.00747255728741</v>
      </c>
      <c r="E7" s="31">
        <v>36.167755701457494</v>
      </c>
      <c r="F7" s="31">
        <v>36.32803884562756</v>
      </c>
    </row>
    <row r="8" spans="1:6" x14ac:dyDescent="0.25">
      <c r="A8" s="30">
        <v>0.090136</v>
      </c>
      <c r="B8" s="31">
        <v>30.74963694993632</v>
      </c>
      <c r="C8" s="31">
        <v>30.88634911119714</v>
      </c>
      <c r="D8" s="31">
        <v>31.023061272457955</v>
      </c>
      <c r="E8" s="31">
        <v>31.159773433718776</v>
      </c>
      <c r="F8" s="31">
        <v>31.29648559497959</v>
      </c>
    </row>
    <row r="9" spans="1:6" x14ac:dyDescent="0.25">
      <c r="A9" s="30">
        <v>0.100136</v>
      </c>
      <c r="B9" s="31">
        <v>26.82603592127343</v>
      </c>
      <c r="C9" s="31">
        <v>26.944141269686206</v>
      </c>
      <c r="D9" s="31">
        <v>27.06224661809897</v>
      </c>
      <c r="E9" s="31">
        <v>27.180351966511747</v>
      </c>
      <c r="F9" s="31">
        <v>27.298457314924516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39415000000</v>
      </c>
      <c r="C5" s="18">
        <v>39235000000</v>
      </c>
      <c r="D5" s="18">
        <v>33427000000</v>
      </c>
      <c r="E5" s="18">
        <v>28065000000</v>
      </c>
      <c r="F5" s="8" t="s">
        <v>84</v>
      </c>
    </row>
    <row r="6" spans="1:6" x14ac:dyDescent="0.25">
      <c r="A6" t="s">
        <v>44</v>
      </c>
      <c r="B6" s="18">
        <v>16227000000</v>
      </c>
      <c r="C6" s="18">
        <v>15405000000</v>
      </c>
      <c r="D6" s="18">
        <v>12419000000</v>
      </c>
      <c r="E6" s="18">
        <v>10268000000</v>
      </c>
      <c r="F6" s="8" t="s">
        <v>85</v>
      </c>
    </row>
    <row r="7" spans="1:6" x14ac:dyDescent="0.25">
      <c r="A7" t="s">
        <v>86</v>
      </c>
      <c r="B7" s="18">
        <v>1521000000</v>
      </c>
      <c r="C7" s="18">
        <v>1533000000</v>
      </c>
      <c r="D7" s="18">
        <v>1403000000</v>
      </c>
      <c r="E7" s="18">
        <v>1328000000</v>
      </c>
      <c r="F7" s="8" t="s">
        <v>87</v>
      </c>
    </row>
    <row r="8" spans="1:6" x14ac:dyDescent="0.25">
      <c r="A8" t="s">
        <v>88</v>
      </c>
      <c r="B8" s="18">
        <v>1806000000</v>
      </c>
      <c r="C8" s="18">
        <v>2011000000</v>
      </c>
      <c r="D8" s="18">
        <v>1819000000</v>
      </c>
      <c r="E8" s="18">
        <v>2442000000</v>
      </c>
      <c r="F8" s="8" t="s">
        <v>89</v>
      </c>
    </row>
    <row r="9" spans="1:6" x14ac:dyDescent="0.25">
      <c r="A9" t="s">
        <v>90</v>
      </c>
      <c r="B9" s="18">
        <v>7205000000</v>
      </c>
      <c r="C9" s="18">
        <v>37951000000</v>
      </c>
      <c r="D9" s="18">
        <v>15935000000</v>
      </c>
      <c r="E9" s="18">
        <v>-8444000000</v>
      </c>
      <c r="F9" s="8" t="s">
        <v>91</v>
      </c>
    </row>
    <row r="10" spans="1:6" x14ac:dyDescent="0.25">
      <c r="A10" t="s">
        <v>92</v>
      </c>
      <c r="B10" s="18">
        <v>89302000000</v>
      </c>
      <c r="C10" s="18">
        <v>75930000000</v>
      </c>
      <c r="D10" s="18">
        <v>74192000000</v>
      </c>
      <c r="E10" s="18">
        <v>60116000000</v>
      </c>
      <c r="F10" s="8" t="s">
        <v>93</v>
      </c>
    </row>
    <row r="11" spans="1:6" x14ac:dyDescent="0.25">
      <c r="A11" t="s">
        <v>94</v>
      </c>
      <c r="B11" s="18">
        <v>69887000000</v>
      </c>
      <c r="C11" s="18">
        <v>59881000000</v>
      </c>
      <c r="D11" s="18">
        <v>81263000000</v>
      </c>
      <c r="E11" s="18">
        <v>84250000000</v>
      </c>
      <c r="F11" s="8" t="s">
        <v>95</v>
      </c>
    </row>
    <row r="12" spans="1:6" x14ac:dyDescent="0.25">
      <c r="A12" t="s">
        <v>32</v>
      </c>
      <c r="B12" s="34">
        <v>5748000000</v>
      </c>
      <c r="C12" s="34">
        <v>5769000000</v>
      </c>
      <c r="D12" s="34">
        <v>5954000000</v>
      </c>
      <c r="E12" s="34">
        <v>6189000000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