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<sst xmlns="http://schemas.openxmlformats.org/spreadsheetml/2006/main" count="111" uniqueCount="99">
  <si>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Best Buy Co., Inc. (BBY)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</si>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</sst>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-0.0343345487205291</v>
      </c>
    </row>
    <row r="7" spans="1:2" x14ac:dyDescent="0.25">
      <c r="A7" t="s">
        <v>5</v>
      </c>
      <c r="B7" s="6">
        <v>0.041355277302005646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0.020463915002501727</v>
      </c>
    </row>
    <row r="10" spans="1:2" x14ac:dyDescent="0.25">
      <c r="A10" t="s">
        <v>8</v>
      </c>
      <c r="B10" s="6">
        <v>0.018067507005485685</v>
      </c>
    </row>
    <row r="11" spans="1:2" x14ac:dyDescent="0.25">
      <c r="A11" t="s">
        <v>9</v>
      </c>
      <c r="B11" s="6">
        <v>-0.1346153846153846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8.47276849593181</v>
      </c>
    </row>
    <row r="14" spans="1:3" x14ac:dyDescent="0.25">
      <c r="A14" t="s">
        <v>12</v>
      </c>
      <c r="B14" s="6">
        <v>0.34072566425588535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1.2043499999999998</v>
      </c>
      <c r="C19" s="8" t="s">
        <v>19</v>
      </c>
    </row>
    <row r="20" spans="1:2" x14ac:dyDescent="0.25">
      <c r="A20" t="s">
        <v>20</v>
      </c>
      <c r="B20" s="10">
        <f>B17+B19*B18</f>
        <v>0.11621925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19473215488</v>
      </c>
    </row>
    <row r="23" spans="1:2" x14ac:dyDescent="0.25">
      <c r="A23" t="s">
        <v>24</v>
      </c>
      <c r="B23" s="11">
        <v>4133000000</v>
      </c>
    </row>
    <row r="24" spans="1:2" x14ac:dyDescent="0.25">
      <c r="A24" t="s">
        <v>25</v>
      </c>
      <c r="B24" s="10">
        <f>B22/(B22+B23)</f>
        <v>0.8249189921145568</v>
      </c>
    </row>
    <row r="25" spans="1:2" x14ac:dyDescent="0.25">
      <c r="A25" t="s">
        <v>26</v>
      </c>
      <c r="B25" s="10">
        <f>1-B24</f>
        <v>0.17508100788544323</v>
      </c>
    </row>
    <row r="26" spans="1:2" x14ac:dyDescent="0.25">
      <c r="A26" t="s">
        <v>27</v>
      </c>
      <c r="B26" s="12">
        <f>B24*B20+B25*B21*(1-B8)</f>
        <v>0.10278440010586012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41691000000</v>
      </c>
      <c r="C29" s="8" t="s">
        <v>30</v>
      </c>
    </row>
    <row r="30" spans="1:2" x14ac:dyDescent="0.25">
      <c r="A30" t="s">
        <v>31</v>
      </c>
      <c r="B30" s="11">
        <v>2395000000</v>
      </c>
    </row>
    <row r="31" spans="1:2" x14ac:dyDescent="0.25">
      <c r="A31" t="s">
        <v>32</v>
      </c>
      <c r="B31" s="13">
        <v>212100000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-0.0343345487205291</v>
      </c>
      <c r="C5" s="10">
        <f>Assumptions!B6</f>
        <v>-0.0343345487205291</v>
      </c>
      <c r="D5" s="10">
        <f>Assumptions!B6</f>
        <v>-0.0343345487205291</v>
      </c>
      <c r="E5" s="10">
        <f>Assumptions!B6</f>
        <v>-0.0343345487205291</v>
      </c>
      <c r="F5" s="10">
        <f>Assumptions!B6</f>
        <v>-0.0343345487205291</v>
      </c>
    </row>
    <row r="6" spans="1:6" x14ac:dyDescent="0.25">
      <c r="A6" t="s">
        <v>43</v>
      </c>
      <c r="B6" s="18">
        <f>Assumptions!B29*(1+B5)</f>
        <v>40259558329.29242</v>
      </c>
      <c r="C6" s="18">
        <f>B6*(1+C5)</f>
        <v>38877264562.36835</v>
      </c>
      <c r="D6" s="18">
        <f>C6*(1+D5)</f>
        <v>37542431228.13081</v>
      </c>
      <c r="E6" s="18">
        <f>D6*(1+E5)</f>
        <v>36253428794.04144</v>
      </c>
      <c r="F6" s="18">
        <f>E6*(1+F5)</f>
        <v>35008683676.826195</v>
      </c>
    </row>
    <row r="7" spans="1:6" x14ac:dyDescent="0.25">
      <c r="A7" t="s">
        <v>5</v>
      </c>
      <c r="B7" s="10">
        <f>Assumptions!B7</f>
        <v>0.041355277302005646</v>
      </c>
      <c r="C7" s="10">
        <f>Assumptions!B7</f>
        <v>0.041355277302005646</v>
      </c>
      <c r="D7" s="10">
        <f>Assumptions!B7</f>
        <v>0.041355277302005646</v>
      </c>
      <c r="E7" s="10">
        <f>Assumptions!B7</f>
        <v>0.041355277302005646</v>
      </c>
      <c r="F7" s="10">
        <f>Assumptions!B7</f>
        <v>0.041355277302005646</v>
      </c>
    </row>
    <row r="8" spans="1:6" x14ac:dyDescent="0.25">
      <c r="A8" t="s">
        <v>44</v>
      </c>
      <c r="B8" s="18">
        <f>B6*B7</f>
        <v>1664945198.7641592</v>
      </c>
      <c r="C8" s="18">
        <f>C6*C7</f>
        <v>1607780056.72018</v>
      </c>
      <c r="D8" s="18">
        <f>D6*D7</f>
        <v>1552577654.030826</v>
      </c>
      <c r="E8" s="18">
        <f>E6*E7</f>
        <v>1499270600.9261</v>
      </c>
      <c r="F8" s="18">
        <f>F6*F7</f>
        <v>1447793821.4333458</v>
      </c>
    </row>
    <row r="9" spans="1:6" x14ac:dyDescent="0.25">
      <c r="A9" t="s">
        <v>45</v>
      </c>
      <c r="B9" s="18">
        <f>B8*(1-Assumptions!B8)</f>
        <v>1315306707.023686</v>
      </c>
      <c r="C9" s="18">
        <f>C8*(1-Assumptions!B8)</f>
        <v>1270146244.8089423</v>
      </c>
      <c r="D9" s="18">
        <f>D8*(1-Assumptions!B8)</f>
        <v>1226536346.6843526</v>
      </c>
      <c r="E9" s="18">
        <f>E8*(1-Assumptions!B8)</f>
        <v>1184423774.7316191</v>
      </c>
      <c r="F9" s="18">
        <f>F8*(1-Assumptions!B8)</f>
        <v>1143757118.9323432</v>
      </c>
    </row>
    <row r="10" spans="1:6" x14ac:dyDescent="0.25">
      <c r="A10" t="s">
        <v>46</v>
      </c>
      <c r="B10" s="18">
        <f>B6*Assumptions!B9</f>
        <v>823868179.6889005</v>
      </c>
      <c r="C10" s="18">
        <f>C6*Assumptions!B9</f>
        <v>795581037.5340784</v>
      </c>
      <c r="D10" s="18">
        <f>D6*Assumptions!B9</f>
        <v>768265121.6397355</v>
      </c>
      <c r="E10" s="18">
        <f>E6*Assumptions!B9</f>
        <v>741887085.3905128</v>
      </c>
      <c r="F10" s="18">
        <f>F6*Assumptions!B9</f>
        <v>716414727.1120409</v>
      </c>
    </row>
    <row r="11" spans="1:6" x14ac:dyDescent="0.25">
      <c r="A11" t="s">
        <v>47</v>
      </c>
      <c r="B11" s="18">
        <f>-B6*Assumptions!B10</f>
        <v>-727389852.1522503</v>
      </c>
      <c r="C11" s="18">
        <f>-C6*Assumptions!B10</f>
        <v>-702415249.8347105</v>
      </c>
      <c r="D11" s="18">
        <f>-D6*Assumptions!B10</f>
        <v>-678298139.217218</v>
      </c>
      <c r="E11" s="18">
        <f>-E6*Assumptions!B10</f>
        <v>-655009078.7092202</v>
      </c>
      <c r="F11" s="18">
        <f>-F6*Assumptions!B10</f>
        <v>-632519637.5838896</v>
      </c>
    </row>
    <row r="12" spans="1:6" x14ac:dyDescent="0.25">
      <c r="A12" t="s">
        <v>48</v>
      </c>
      <c r="B12" s="18">
        <f>-(B6-Assumptions!B29)*Assumptions!B11</f>
        <v>-192694071.0567897</v>
      </c>
      <c r="C12" s="18">
        <f>-(C6-B6)*Assumptions!B11</f>
        <v>-186078007.0859328</v>
      </c>
      <c r="D12" s="18">
        <f>-(D6-C6)*Assumptions!B11</f>
        <v>-179689102.68582183</v>
      </c>
      <c r="E12" s="18">
        <f>-(E6-D6)*Assumptions!B11</f>
        <v>-173519558.4351076</v>
      </c>
      <c r="F12" s="18">
        <f>-(F6-E6)*Assumptions!B11</f>
        <v>-167561842.70205262</v>
      </c>
    </row>
    <row r="13" spans="1:6" x14ac:dyDescent="0.25">
      <c r="A13" s="19" t="s">
        <v>49</v>
      </c>
      <c r="B13" s="20">
        <f>B9+B10+B11+B12</f>
        <v>1219090963.5035465</v>
      </c>
      <c r="C13" s="20">
        <f>C9+C10+C11+C12</f>
        <v>1177234025.4223776</v>
      </c>
      <c r="D13" s="20">
        <f>D9+D10+D11+D12</f>
        <v>1136814226.4210484</v>
      </c>
      <c r="E13" s="20">
        <f>E9+E10+E11+E12</f>
        <v>1097782222.9778042</v>
      </c>
      <c r="F13" s="20">
        <f>F9+F10+F11+F12</f>
        <v>1060090365.7584419</v>
      </c>
    </row>
    <row r="14" spans="1:6" x14ac:dyDescent="0.25">
      <c r="A14" t="s">
        <v>50</v>
      </c>
      <c r="B14" s="21">
        <f>1/(1+Assumptions!$B$26)^(1-0.5*Assumptions!$B$32)</f>
        <v>0.9522581383889642</v>
      </c>
      <c r="C14" s="21">
        <f>1/(1+Assumptions!$B$26)^(2-0.5*Assumptions!$B$32)</f>
        <v>0.8635034538913985</v>
      </c>
      <c r="D14" s="21">
        <f>1/(1+Assumptions!$B$26)^(3-0.5*Assumptions!$B$32)</f>
        <v>0.7830210998709337</v>
      </c>
      <c r="E14" s="21">
        <f>1/(1+Assumptions!$B$26)^(4-0.5*Assumptions!$B$32)</f>
        <v>0.7100400584155604</v>
      </c>
      <c r="F14" s="21">
        <f>1/(1+Assumptions!$B$26)^(5-0.5*Assumptions!$B$32)</f>
        <v>0.643861173904347</v>
      </c>
    </row>
    <row r="15" spans="1:6" x14ac:dyDescent="0.25">
      <c r="A15" s="19" t="s">
        <v>51</v>
      </c>
      <c r="B15" s="20">
        <f>B13*B14</f>
        <v>1160889291.4326959</v>
      </c>
      <c r="C15" s="20">
        <f>C13*C14</f>
        <v>1016545646.9906975</v>
      </c>
      <c r="D15" s="20">
        <f>D13*D14</f>
        <v>890149525.921134</v>
      </c>
      <c r="E15" s="20">
        <f>E13*E14</f>
        <v>779469353.7307239</v>
      </c>
      <c r="F15" s="20">
        <f>F13*F14</f>
        <v>682551027.3419191</v>
      </c>
    </row>
    <row r="17" spans="1:2" x14ac:dyDescent="0.25">
      <c r="A17" s="22" t="s">
        <v>52</v>
      </c>
      <c r="B17" s="23">
        <f>SUM(B15:F15)</f>
        <v>4529604845.417171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1060090365.7584419</v>
      </c>
    </row>
    <row r="5" spans="1:2" x14ac:dyDescent="0.25">
      <c r="A5" t="s">
        <v>56</v>
      </c>
      <c r="B5" s="18">
        <f>IF(Assumptions!$B$33=0,B4,B4-Forecast!F11-Forecast!F10-Forecast!F12)</f>
        <v>1186892267.7342737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0.07337281168589922</v>
      </c>
    </row>
    <row r="7" spans="1:2" x14ac:dyDescent="0.25">
      <c r="A7" t="s">
        <v>58</v>
      </c>
      <c r="B7" s="18">
        <f>-MAX(Forecast!F9,0)*B6</f>
        <v>-87085622.85191675</v>
      </c>
    </row>
    <row r="8" spans="1:2" x14ac:dyDescent="0.25">
      <c r="A8" t="s">
        <v>59</v>
      </c>
      <c r="B8" s="18">
        <f>IF(OR(Assumptions!$B$33=0,Assumptions!B12&lt;=0),B5,MAX(B5+B7,0))</f>
        <v>1099806644.882357</v>
      </c>
    </row>
    <row r="9" spans="1:2" x14ac:dyDescent="0.25">
      <c r="A9" t="s">
        <v>60</v>
      </c>
      <c r="B9" s="18">
        <f>B8*(1+Assumptions!B12)/(Assumptions!B26-Assumptions!B12)</f>
        <v>14492646462.146938</v>
      </c>
    </row>
    <row r="10" spans="1:2" x14ac:dyDescent="0.25">
      <c r="A10" t="s">
        <v>61</v>
      </c>
      <c r="B10" s="18">
        <f>B9/(1+Assumptions!B26)^(5-0.5*Assumptions!B32)</f>
        <v>9331252364.09861</v>
      </c>
    </row>
    <row r="11" spans="1:2" x14ac:dyDescent="0.25">
      <c r="A11" t="s">
        <v>62</v>
      </c>
      <c r="B11" s="18">
        <f>Forecast!B17+B10</f>
        <v>13860857209.515781</v>
      </c>
    </row>
    <row r="12" spans="1:2" x14ac:dyDescent="0.25">
      <c r="A12" t="s">
        <v>63</v>
      </c>
      <c r="B12" s="18">
        <f>-Assumptions!B30</f>
        <v>-2395000000</v>
      </c>
    </row>
    <row r="13" spans="1:2" x14ac:dyDescent="0.25">
      <c r="A13" t="s">
        <v>64</v>
      </c>
      <c r="B13" s="18">
        <f>B11+B12</f>
        <v>11465857209.515781</v>
      </c>
    </row>
    <row r="14" spans="1:2" x14ac:dyDescent="0.25">
      <c r="A14" s="19" t="s">
        <v>65</v>
      </c>
      <c r="B14" s="24">
        <f>B13/Assumptions!B31</f>
        <v>54.05873271813193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2164208548.545387</v>
      </c>
    </row>
    <row r="18" spans="1:2" x14ac:dyDescent="0.25">
      <c r="A18" t="s">
        <v>60</v>
      </c>
      <c r="B18" s="18">
        <f>B17*Assumptions!B13</f>
        <v>18336838008.74166</v>
      </c>
    </row>
    <row r="19" spans="1:2" x14ac:dyDescent="0.25">
      <c r="A19" t="s">
        <v>61</v>
      </c>
      <c r="B19" s="18">
        <f>B18/(1+Assumptions!B26)^(5-0.5*Assumptions!B32)</f>
        <v>11806378046.002256</v>
      </c>
    </row>
    <row r="20" spans="1:2" x14ac:dyDescent="0.25">
      <c r="A20" t="s">
        <v>62</v>
      </c>
      <c r="B20" s="18">
        <f>Forecast!B17+B19</f>
        <v>16335982891.419426</v>
      </c>
    </row>
    <row r="21" spans="1:2" x14ac:dyDescent="0.25">
      <c r="A21" t="s">
        <v>63</v>
      </c>
      <c r="B21" s="18">
        <f>-Assumptions!B30</f>
        <v>-2395000000</v>
      </c>
    </row>
    <row r="22" spans="1:2" x14ac:dyDescent="0.25">
      <c r="A22" t="s">
        <v>64</v>
      </c>
      <c r="B22" s="18">
        <f>B20+B21</f>
        <v>13940982891.419426</v>
      </c>
    </row>
    <row r="23" spans="1:2" x14ac:dyDescent="0.25">
      <c r="A23" s="19" t="s">
        <v>65</v>
      </c>
      <c r="B23" s="25">
        <f>B22/Assumptions!B31</f>
        <v>65.72834932305246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92.85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54.05873271813193</v>
      </c>
    </row>
    <row r="29" spans="1:2" x14ac:dyDescent="0.25">
      <c r="A29" s="19" t="s">
        <v>73</v>
      </c>
      <c r="B29" s="12">
        <f>B28/B26-1</f>
        <v>-0.4177842464390745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0.082784</v>
      </c>
      <c r="B5" s="31">
        <v>66.96766713433124</v>
      </c>
      <c r="C5" s="31">
        <v>70.79285127322714</v>
      </c>
      <c r="D5" s="31">
        <v>75.27007971777492</v>
      </c>
      <c r="E5" s="31">
        <v>80.58464847784082</v>
      </c>
      <c r="F5" s="31">
        <v>86.99940923458944</v>
      </c>
    </row>
    <row r="6" spans="1:6" x14ac:dyDescent="0.25">
      <c r="A6" s="30">
        <v>0.092784</v>
      </c>
      <c r="B6" s="31">
        <v>57.33168544929626</v>
      </c>
      <c r="C6" s="31">
        <v>60.023034575190806</v>
      </c>
      <c r="D6" s="31">
        <v>63.10330503716541</v>
      </c>
      <c r="E6" s="31">
        <v>66.66541573241047</v>
      </c>
      <c r="F6" s="31">
        <v>70.83444632829158</v>
      </c>
    </row>
    <row r="7" spans="1:6" x14ac:dyDescent="0.25">
      <c r="A7" s="30">
        <v>0.102784</v>
      </c>
      <c r="B7" s="31">
        <v>49.88967451441231</v>
      </c>
      <c r="C7" s="31">
        <v>51.85164352100511</v>
      </c>
      <c r="D7" s="32">
        <v>54.05904817525813</v>
      </c>
      <c r="E7" s="31">
        <v>56.56247012581534</v>
      </c>
      <c r="F7" s="31">
        <v>59.42741538360209</v>
      </c>
    </row>
    <row r="8" spans="1:6" x14ac:dyDescent="0.25">
      <c r="A8" s="30">
        <v>0.112784</v>
      </c>
      <c r="B8" s="31">
        <v>43.96846801753764</v>
      </c>
      <c r="C8" s="31">
        <v>45.43855642069968</v>
      </c>
      <c r="D8" s="31">
        <v>47.07032813474857</v>
      </c>
      <c r="E8" s="31">
        <v>48.89307927564035</v>
      </c>
      <c r="F8" s="31">
        <v>50.94363864367637</v>
      </c>
    </row>
    <row r="9" spans="1:6" x14ac:dyDescent="0.25">
      <c r="A9" s="30">
        <v>0.122784</v>
      </c>
      <c r="B9" s="31">
        <v>39.144726982232704</v>
      </c>
      <c r="C9" s="31">
        <v>40.27059996052611</v>
      </c>
      <c r="D9" s="31">
        <v>41.50662476176208</v>
      </c>
      <c r="E9" s="31">
        <v>42.87060916900815</v>
      </c>
      <c r="F9" s="31">
        <v>44.38441814729382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41691000000</v>
      </c>
      <c r="C5" s="18">
        <v>41528000000</v>
      </c>
      <c r="D5" s="18">
        <v>43452000000</v>
      </c>
      <c r="E5" s="18">
        <v>46298000000</v>
      </c>
      <c r="F5" s="8" t="s">
        <v>84</v>
      </c>
    </row>
    <row r="6" spans="1:6" x14ac:dyDescent="0.25">
      <c r="A6" t="s">
        <v>44</v>
      </c>
      <c r="B6" s="18">
        <v>1750000000</v>
      </c>
      <c r="C6" s="18">
        <v>1734000000</v>
      </c>
      <c r="D6" s="18">
        <v>1727000000</v>
      </c>
      <c r="E6" s="18">
        <v>1942000000</v>
      </c>
      <c r="F6" s="8" t="s">
        <v>85</v>
      </c>
    </row>
    <row r="7" spans="1:6" x14ac:dyDescent="0.25">
      <c r="A7" t="s">
        <v>86</v>
      </c>
      <c r="B7" s="18">
        <v>831000000</v>
      </c>
      <c r="C7" s="18">
        <v>866000000</v>
      </c>
      <c r="D7" s="18">
        <v>923000000</v>
      </c>
      <c r="E7" s="18">
        <v>918000000</v>
      </c>
      <c r="F7" s="8" t="s">
        <v>87</v>
      </c>
    </row>
    <row r="8" spans="1:6" x14ac:dyDescent="0.25">
      <c r="A8" t="s">
        <v>88</v>
      </c>
      <c r="B8" s="18">
        <v>704000000</v>
      </c>
      <c r="C8" s="18">
        <v>706000000</v>
      </c>
      <c r="D8" s="18">
        <v>795000000</v>
      </c>
      <c r="E8" s="18">
        <v>930000000</v>
      </c>
      <c r="F8" s="8" t="s">
        <v>89</v>
      </c>
    </row>
    <row r="9" spans="1:6" x14ac:dyDescent="0.25">
      <c r="A9" t="s">
        <v>90</v>
      </c>
      <c r="B9" s="18">
        <v>539000000</v>
      </c>
      <c r="C9" s="18">
        <v>259000000</v>
      </c>
      <c r="D9" s="18">
        <v>783000000</v>
      </c>
      <c r="E9" s="18">
        <v>861000000</v>
      </c>
      <c r="F9" s="8" t="s">
        <v>91</v>
      </c>
    </row>
    <row r="10" spans="1:6" x14ac:dyDescent="0.25">
      <c r="A10" t="s">
        <v>92</v>
      </c>
      <c r="B10" s="18">
        <v>4133000000</v>
      </c>
      <c r="C10" s="18">
        <v>4053000000</v>
      </c>
      <c r="D10" s="18">
        <v>3982000000</v>
      </c>
      <c r="E10" s="18">
        <v>3978000000</v>
      </c>
      <c r="F10" s="8" t="s">
        <v>93</v>
      </c>
    </row>
    <row r="11" spans="1:6" x14ac:dyDescent="0.25">
      <c r="A11" t="s">
        <v>94</v>
      </c>
      <c r="B11" s="18">
        <v>1738000000</v>
      </c>
      <c r="C11" s="18">
        <v>1578000000</v>
      </c>
      <c r="D11" s="18">
        <v>1447000000</v>
      </c>
      <c r="E11" s="18">
        <v>1874000000</v>
      </c>
      <c r="F11" s="8" t="s">
        <v>95</v>
      </c>
    </row>
    <row r="12" spans="1:6" x14ac:dyDescent="0.25">
      <c r="A12" t="s">
        <v>32</v>
      </c>
      <c r="B12" s="34">
        <v>212100000</v>
      </c>
      <c r="C12" s="34">
        <v>216600000</v>
      </c>
      <c r="D12" s="34">
        <v>218500000</v>
      </c>
      <c r="E12" s="34">
        <v>225700000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