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<sst xmlns="http://schemas.openxmlformats.org/spreadsheetml/2006/main" count="119" uniqueCount="106">
  <si>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Best Buy Co., Inc. (BBY)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</si>
  <si>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</si>
  <si>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</si>
  <si>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</si>
  <si>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</si>
  <si>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</si>
  <si>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</si>
  <si>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</si>
  <si>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</si>
  <si>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</si>
  <si>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</si>
  <si>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</si>
  <si>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</si>
  <si>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</si>
  <si>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</si>
  <si>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</si>
  <si>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</si>
  <si>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</si>
  <si>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</si>
  <si>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</si>
  <si>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</si>
  <si>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</si>
  <si>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</si>
  <si>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</si>
  <si>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37.2x interest cover. Book interest / average debt was lower, at 1.1%.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</si>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</sst>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0.02343123743733666</v>
      </c>
    </row>
    <row r="7" spans="1:2" x14ac:dyDescent="0.25">
      <c r="A7" t="s">
        <v>4</v>
      </c>
      <c r="B7" s="5">
        <v>0.041355277302005646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0.020463915002501727</v>
      </c>
    </row>
    <row r="10" spans="1:3" x14ac:dyDescent="0.25">
      <c r="A10" t="s">
        <v>7</v>
      </c>
      <c r="B10" s="5">
        <v>0.018067507005485685</v>
      </c>
      <c r="C10" s="6" t="s">
        <v>8</v>
      </c>
    </row>
    <row r="11" spans="1:2" x14ac:dyDescent="0.25">
      <c r="A11" t="s">
        <v>9</v>
      </c>
      <c r="B11" s="5">
        <v>0.028332796933447205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8.700292488182875</v>
      </c>
    </row>
    <row r="14" spans="1:3" x14ac:dyDescent="0.25">
      <c r="A14" t="s">
        <v>12</v>
      </c>
      <c r="B14" s="5">
        <v>0.34072566425588535</v>
      </c>
      <c r="C14" s="6" t="s">
        <v>13</v>
      </c>
    </row>
    <row r="15" spans="1:3" x14ac:dyDescent="0.25">
      <c r="A15" t="s">
        <v>14</v>
      </c>
      <c r="B15" s="5">
        <v>0.018904260412694857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1.18894</v>
      </c>
      <c r="C19" s="6" t="s">
        <v>21</v>
      </c>
    </row>
    <row r="20" spans="1:2" x14ac:dyDescent="0.25">
      <c r="A20" t="s">
        <v>22</v>
      </c>
      <c r="B20" s="9">
        <f>B17+B19*B18</f>
        <v>0.09923216200000001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20060454912</v>
      </c>
    </row>
    <row r="23" spans="1:2" x14ac:dyDescent="0.25">
      <c r="A23" t="s">
        <v>26</v>
      </c>
      <c r="B23" s="10">
        <v>4133000000</v>
      </c>
    </row>
    <row r="24" spans="1:2" x14ac:dyDescent="0.25">
      <c r="A24" t="s">
        <v>27</v>
      </c>
      <c r="B24" s="9">
        <f>B22/(B22+B23)</f>
        <v>0.8291686733030418</v>
      </c>
    </row>
    <row r="25" spans="1:2" x14ac:dyDescent="0.25">
      <c r="A25" t="s">
        <v>28</v>
      </c>
      <c r="B25" s="9">
        <f>1-B24</f>
        <v>0.17083132669695822</v>
      </c>
    </row>
    <row r="26" spans="1:2" x14ac:dyDescent="0.25">
      <c r="A26" t="s">
        <v>29</v>
      </c>
      <c r="B26" s="11">
        <f>B24*B20+B25*B21*(1-B8)</f>
        <v>0.08942481035844874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41691000000</v>
      </c>
      <c r="C29" s="6" t="s">
        <v>32</v>
      </c>
    </row>
    <row r="30" spans="1:2" x14ac:dyDescent="0.25">
      <c r="A30" t="s">
        <v>33</v>
      </c>
      <c r="B30" s="10">
        <v>2395000000</v>
      </c>
    </row>
    <row r="31" spans="1:2" x14ac:dyDescent="0.25">
      <c r="A31" t="s">
        <v>34</v>
      </c>
      <c r="B31" s="12">
        <v>212100000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0.02343123743733666</v>
      </c>
      <c r="C5" s="5">
        <v>0.016661940268906328</v>
      </c>
      <c r="D5" s="5">
        <v>0.017704197735293036</v>
      </c>
      <c r="E5" s="5">
        <v>0.018746455201679744</v>
      </c>
      <c r="F5" s="5">
        <v>0.019788712668066456</v>
      </c>
      <c r="G5" s="5">
        <v>0.020830970134453165</v>
      </c>
      <c r="H5" s="5">
        <v>0.021873227600839873</v>
      </c>
      <c r="I5" s="5">
        <v>0.022915485067226585</v>
      </c>
      <c r="J5" s="5">
        <v>0.023957742533613293</v>
      </c>
      <c r="K5" s="5">
        <v>0.025</v>
      </c>
    </row>
    <row r="6" spans="1:11" x14ac:dyDescent="0.25">
      <c r="A6" t="s">
        <v>50</v>
      </c>
      <c r="B6" s="18">
        <f>Assumptions!B29*(1+B5)</f>
        <v>42667871720</v>
      </c>
      <c r="C6" s="18">
        <f>B6*(1+C5)</f>
        <v>43378801250</v>
      </c>
      <c r="D6" s="18">
        <f>C6*(1+D5)</f>
        <v>44146788124.849976</v>
      </c>
      <c r="E6" s="18">
        <f>D6*(1+E5)</f>
        <v>44974383910.73053</v>
      </c>
      <c r="F6" s="18">
        <f>E6*(1+F5)</f>
        <v>45864369071.36329</v>
      </c>
      <c r="G6" s="18">
        <f>F6*(1+G5)</f>
        <v>46819768373.724396</v>
      </c>
      <c r="H6" s="18">
        <f>G6*(1+H5)</f>
        <v>47843867823.58147</v>
      </c>
      <c r="I6" s="18">
        <f>H6*(1+I5)</f>
        <v>48940233262.251114</v>
      </c>
      <c r="J6" s="18">
        <f>I6*(1+J5)</f>
        <v>50112730770.283104</v>
      </c>
      <c r="K6" s="18">
        <f>J6*(1+K5)</f>
        <v>51365549039.54018</v>
      </c>
    </row>
    <row r="7" spans="1:11" x14ac:dyDescent="0.25">
      <c r="A7" t="s">
        <v>4</v>
      </c>
      <c r="B7" s="9">
        <f>Assumptions!B7</f>
        <v>0.041355277302005646</v>
      </c>
      <c r="C7" s="9">
        <f>Assumptions!B7</f>
        <v>0.041355277302005646</v>
      </c>
      <c r="D7" s="9">
        <f>Assumptions!B7</f>
        <v>0.041355277302005646</v>
      </c>
      <c r="E7" s="9">
        <f>Assumptions!B7</f>
        <v>0.041355277302005646</v>
      </c>
      <c r="F7" s="9">
        <f>Assumptions!B7</f>
        <v>0.041355277302005646</v>
      </c>
      <c r="G7" s="9">
        <f>Assumptions!B7</f>
        <v>0.041355277302005646</v>
      </c>
      <c r="H7" s="9">
        <f>Assumptions!B7</f>
        <v>0.041355277302005646</v>
      </c>
      <c r="I7" s="9">
        <f>Assumptions!B7</f>
        <v>0.041355277302005646</v>
      </c>
      <c r="J7" s="9">
        <f>Assumptions!B7</f>
        <v>0.041355277302005646</v>
      </c>
      <c r="K7" s="9">
        <f>Assumptions!B7</f>
        <v>0.041355277302005646</v>
      </c>
    </row>
    <row r="8" spans="1:11" x14ac:dyDescent="0.25">
      <c r="A8" t="s">
        <v>51</v>
      </c>
      <c r="B8" s="18">
        <f>B6*B7</f>
        <v>1764541666.8670046</v>
      </c>
      <c r="C8" s="18">
        <f>C6*C7</f>
        <v>1793942354.7223392</v>
      </c>
      <c r="D8" s="18">
        <f>D6*D7</f>
        <v>1825702664.8960605</v>
      </c>
      <c r="E8" s="18">
        <f>E6*E7</f>
        <v>1859928118.115122</v>
      </c>
      <c r="F8" s="18">
        <f>F6*F7</f>
        <v>1896733701.22776</v>
      </c>
      <c r="G8" s="18">
        <f>G6*G7</f>
        <v>1936244504.3110464</v>
      </c>
      <c r="H8" s="18">
        <f>H6*H7</f>
        <v>1978596421.0447168</v>
      </c>
      <c r="I8" s="18">
        <f>I6*I7</f>
        <v>2023936917.7852352</v>
      </c>
      <c r="J8" s="18">
        <f>J6*J7</f>
        <v>2072425877.3658087</v>
      </c>
      <c r="K8" s="18">
        <f>K6*K7</f>
        <v>2124236524.2999537</v>
      </c>
    </row>
    <row r="9" spans="1:11" x14ac:dyDescent="0.25">
      <c r="A9" t="s">
        <v>52</v>
      </c>
      <c r="B9" s="18">
        <f>B8*(1-Assumptions!B8)</f>
        <v>1393987916.8249338</v>
      </c>
      <c r="C9" s="18">
        <f>C8*(1-Assumptions!B8)</f>
        <v>1417214460.230648</v>
      </c>
      <c r="D9" s="18">
        <f>D8*(1-Assumptions!B8)</f>
        <v>1442305105.2678878</v>
      </c>
      <c r="E9" s="18">
        <f>E8*(1-Assumptions!B8)</f>
        <v>1469343213.3109465</v>
      </c>
      <c r="F9" s="18">
        <f>F8*(1-Assumptions!B8)</f>
        <v>1498419623.9699304</v>
      </c>
      <c r="G9" s="18">
        <f>G8*(1-Assumptions!B8)</f>
        <v>1529633158.4057267</v>
      </c>
      <c r="H9" s="18">
        <f>H8*(1-Assumptions!B8)</f>
        <v>1563091172.6253264</v>
      </c>
      <c r="I9" s="18">
        <f>I8*(1-Assumptions!B8)</f>
        <v>1598910165.050336</v>
      </c>
      <c r="J9" s="18">
        <f>J8*(1-Assumptions!B8)</f>
        <v>1637216443.118989</v>
      </c>
      <c r="K9" s="18">
        <f>K8*(1-Assumptions!B8)</f>
        <v>1678146854.1969635</v>
      </c>
    </row>
    <row r="10" spans="1:11" x14ac:dyDescent="0.25">
      <c r="A10" t="s">
        <v>53</v>
      </c>
      <c r="B10" s="18">
        <f>B6*Assumptions!B9</f>
        <v>873151700.2157272</v>
      </c>
      <c r="C10" s="18">
        <f>C6*Assumptions!B9</f>
        <v>887700101.6904156</v>
      </c>
      <c r="D10" s="18">
        <f>D6*Assumptions!B9</f>
        <v>903416119.8203825</v>
      </c>
      <c r="E10" s="18">
        <f>E6*Assumptions!B9</f>
        <v>920351969.6390707</v>
      </c>
      <c r="F10" s="18">
        <f>F6*Assumptions!B9</f>
        <v>938564550.3197474</v>
      </c>
      <c r="G10" s="18">
        <f>G6*Assumptions!B9</f>
        <v>958115760.4367145</v>
      </c>
      <c r="H10" s="18">
        <f>H6*Assumptions!B9</f>
        <v>979072844.5326984</v>
      </c>
      <c r="I10" s="18">
        <f>I6*Assumptions!B9</f>
        <v>1001508773.6813146</v>
      </c>
      <c r="J10" s="18">
        <f>J6*Assumptions!B9</f>
        <v>1025502663.0263263</v>
      </c>
      <c r="K10" s="18">
        <f>K6*Assumptions!B9</f>
        <v>1051140229.6019844</v>
      </c>
    </row>
    <row r="11" spans="1:11" x14ac:dyDescent="0.25">
      <c r="A11" t="s">
        <v>54</v>
      </c>
      <c r="B11" s="18">
        <f>-B6*B19</f>
        <v>-770902071.2102646</v>
      </c>
      <c r="C11" s="18">
        <f>-C6*C19</f>
        <v>-799769463.696306</v>
      </c>
      <c r="D11" s="18">
        <f>-D6*D19</f>
        <v>-830235077.1330502</v>
      </c>
      <c r="E11" s="18">
        <f>-E6*E19</f>
        <v>-862411064.5328189</v>
      </c>
      <c r="F11" s="18">
        <f>-F6*F19</f>
        <v>-896417822.5544813</v>
      </c>
      <c r="G11" s="18">
        <f>-G6*G19</f>
        <v>-932384721.0332611</v>
      </c>
      <c r="H11" s="18">
        <f>-H6*H19</f>
        <v>-970450897.6831425</v>
      </c>
      <c r="I11" s="18">
        <f>-I6*I19</f>
        <v>-1010766124.6410859</v>
      </c>
      <c r="J11" s="18">
        <f>-J6*J19</f>
        <v>-1053491754.211339</v>
      </c>
      <c r="K11" s="18">
        <f>-K6*K19</f>
        <v>-1098801751.9358864</v>
      </c>
    </row>
    <row r="12" spans="1:11" x14ac:dyDescent="0.25">
      <c r="A12" t="s">
        <v>55</v>
      </c>
      <c r="B12" s="18">
        <f>-(B6-Assumptions!B29)*Assumptions!B11</f>
        <v>-27677508.072787296</v>
      </c>
      <c r="C12" s="18">
        <f>-(C6-B6)*Assumptions!B11</f>
        <v>-20142622.007481065</v>
      </c>
      <c r="D12" s="18">
        <f>-(D6-C6)*Assumptions!B11</f>
        <v>-21759216.172677092</v>
      </c>
      <c r="E12" s="18">
        <f>-(E6-D6)*Assumptions!B11</f>
        <v>-23448103.344330397</v>
      </c>
      <c r="F12" s="18">
        <f>-(F6-E6)*Assumptions!B11</f>
        <v>-25215768.829989355</v>
      </c>
      <c r="G12" s="18">
        <f>-(G6-F6)*Assumptions!B11</f>
        <v>-27069134.424154367</v>
      </c>
      <c r="H12" s="18">
        <f>-(H6-G6)*Assumptions!B11</f>
        <v>-29015601.752455387</v>
      </c>
      <c r="I12" s="18">
        <f>-(I6-H6)*Assumptions!B11</f>
        <v>-31063099.33867688</v>
      </c>
      <c r="J12" s="18">
        <f>-(J6-I6)*Assumptions!B11</f>
        <v>-33220133.80004326</v>
      </c>
      <c r="K12" s="18">
        <f>-(K6-J6)*Assumptions!B11</f>
        <v>-35495845.617373414</v>
      </c>
    </row>
    <row r="13" spans="1:11" x14ac:dyDescent="0.25">
      <c r="A13" s="19" t="s">
        <v>56</v>
      </c>
      <c r="B13" s="20">
        <f>B9+B10+B11+B12</f>
        <v>1468560037.757609</v>
      </c>
      <c r="C13" s="20">
        <f>C9+C10+C11+C12</f>
        <v>1485002476.2172763</v>
      </c>
      <c r="D13" s="20">
        <f>D9+D10+D11+D12</f>
        <v>1493726931.782543</v>
      </c>
      <c r="E13" s="20">
        <f>E9+E10+E11+E12</f>
        <v>1503836015.0728679</v>
      </c>
      <c r="F13" s="20">
        <f>F9+F10+F11+F12</f>
        <v>1515350582.905207</v>
      </c>
      <c r="G13" s="20">
        <f>G9+G10+G11+G12</f>
        <v>1528295063.3850257</v>
      </c>
      <c r="H13" s="20">
        <f>H9+H10+H11+H12</f>
        <v>1542697517.7224267</v>
      </c>
      <c r="I13" s="20">
        <f>I9+I10+I11+I12</f>
        <v>1558589714.7518876</v>
      </c>
      <c r="J13" s="20">
        <f>J9+J10+J11+J12</f>
        <v>1576007218.1339328</v>
      </c>
      <c r="K13" s="20">
        <f>K9+K10+K11+K12</f>
        <v>1594989486.245688</v>
      </c>
    </row>
    <row r="14" spans="1:11" x14ac:dyDescent="0.25">
      <c r="A14" t="s">
        <v>57</v>
      </c>
      <c r="B14" s="21">
        <f>1/(1+Assumptions!$B$26)^(1-0.5*Assumptions!$B$32)</f>
        <v>0.9580791062749755</v>
      </c>
      <c r="C14" s="21">
        <f>1/(1+Assumptions!$B$26)^(2-0.5*Assumptions!$B$32)</f>
        <v>0.8794357326594597</v>
      </c>
      <c r="D14" s="21">
        <f>1/(1+Assumptions!$B$26)^(3-0.5*Assumptions!$B$32)</f>
        <v>0.807247755235263</v>
      </c>
      <c r="E14" s="21">
        <f>1/(1+Assumptions!$B$26)^(4-0.5*Assumptions!$B$32)</f>
        <v>0.7409852865106477</v>
      </c>
      <c r="F14" s="21">
        <f>1/(1+Assumptions!$B$26)^(5-0.5*Assumptions!$B$32)</f>
        <v>0.6801619345045431</v>
      </c>
      <c r="G14" s="21">
        <f>1/(1+Assumptions!$B$26)^(6-0.5*Assumptions!$B$32)</f>
        <v>0.6243312324425146</v>
      </c>
      <c r="H14" s="21">
        <f>1/(1+Assumptions!$B$26)^(7-0.5*Assumptions!$B$32)</f>
        <v>0.5730833615190879</v>
      </c>
      <c r="I14" s="21">
        <f>1/(1+Assumptions!$B$26)^(8-0.5*Assumptions!$B$32)</f>
        <v>0.526042142670249</v>
      </c>
      <c r="J14" s="21">
        <f>1/(1+Assumptions!$B$26)^(9-0.5*Assumptions!$B$32)</f>
        <v>0.4828622752745713</v>
      </c>
      <c r="K14" s="21">
        <f>1/(1+Assumptions!$B$26)^(10-0.5*Assumptions!$B$32)</f>
        <v>0.4432268025139773</v>
      </c>
    </row>
    <row r="15" spans="1:11" x14ac:dyDescent="0.25">
      <c r="A15" s="19" t="s">
        <v>58</v>
      </c>
      <c r="B15" s="20">
        <f>B13*B14</f>
        <v>1406996688.4859543</v>
      </c>
      <c r="C15" s="20">
        <f>C13*C14</f>
        <v>1305964240.6732523</v>
      </c>
      <c r="D15" s="20">
        <f>D13*D14</f>
        <v>1205807712.6159146</v>
      </c>
      <c r="E15" s="20">
        <f>E13*E14</f>
        <v>1114320360.4937997</v>
      </c>
      <c r="F15" s="20">
        <f>F13*F14</f>
        <v>1030683783.9213926</v>
      </c>
      <c r="G15" s="20">
        <f>G13*G14</f>
        <v>954162340.4589841</v>
      </c>
      <c r="H15" s="20">
        <f>H13*H14</f>
        <v>884094279.263521</v>
      </c>
      <c r="I15" s="20">
        <f>I13*I14</f>
        <v>819883873.0918951</v>
      </c>
      <c r="J15" s="20">
        <f>J13*J14</f>
        <v>760994431.1972984</v>
      </c>
      <c r="K15" s="20">
        <f>K13*K14</f>
        <v>706942090.0320876</v>
      </c>
    </row>
    <row r="17" spans="1:2" x14ac:dyDescent="0.25">
      <c r="A17" s="22" t="s">
        <v>59</v>
      </c>
      <c r="B17" s="23">
        <f>SUM(B15:K15)</f>
        <v>10189849800.2341</v>
      </c>
    </row>
    <row r="19" spans="1:11" x14ac:dyDescent="0.25">
      <c r="A19" t="s">
        <v>7</v>
      </c>
      <c r="B19" s="9">
        <f>Assumptions!$B$10+($B$20-Assumptions!$B$10)*0/9</f>
        <v>0.018067507005485685</v>
      </c>
      <c r="C19" s="9">
        <f>Assumptions!$B$10+($B$20-Assumptions!$B$10)*1/9</f>
        <v>0.01843687332637635</v>
      </c>
      <c r="D19" s="9">
        <f>Assumptions!$B$10+($B$20-Assumptions!$B$10)*2/9</f>
        <v>0.018806239647267013</v>
      </c>
      <c r="E19" s="9">
        <f>Assumptions!$B$10+($B$20-Assumptions!$B$10)*3/9</f>
        <v>0.019175605968157677</v>
      </c>
      <c r="F19" s="9">
        <f>Assumptions!$B$10+($B$20-Assumptions!$B$10)*4/9</f>
        <v>0.01954497228904834</v>
      </c>
      <c r="G19" s="9">
        <f>Assumptions!$B$10+($B$20-Assumptions!$B$10)*5/9</f>
        <v>0.01991433860993901</v>
      </c>
      <c r="H19" s="9">
        <f>Assumptions!$B$10+($B$20-Assumptions!$B$10)*6/9</f>
        <v>0.020283704930829673</v>
      </c>
      <c r="I19" s="9">
        <f>Assumptions!$B$10+($B$20-Assumptions!$B$10)*7/9</f>
        <v>0.020653071251720338</v>
      </c>
      <c r="J19" s="9">
        <f>Assumptions!$B$10+($B$20-Assumptions!$B$10)*8/9</f>
        <v>0.021022437572611002</v>
      </c>
      <c r="K19" s="9">
        <f>Assumptions!$B$10+($B$20-Assumptions!$B$10)*9/9</f>
        <v>0.021391803893501666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0.021391803893501666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1594989486.245688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1741435740.5077639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0.07337281168589922</v>
      </c>
    </row>
    <row r="7" spans="1:2" x14ac:dyDescent="0.25">
      <c r="A7" t="s">
        <v>66</v>
      </c>
      <c r="B7" s="18">
        <f>-MAX(B5,0)*B6</f>
        <v>-127774036.65137063</v>
      </c>
    </row>
    <row r="8" spans="1:2" x14ac:dyDescent="0.25">
      <c r="A8" t="s">
        <v>67</v>
      </c>
      <c r="B8" s="18">
        <f>IF(OR(Assumptions!$B$33=0,Assumptions!B12&lt;=0),B5,MAX(B5+B7,0))</f>
        <v>1613661703.8563933</v>
      </c>
    </row>
    <row r="9" spans="1:2" x14ac:dyDescent="0.25">
      <c r="A9" t="s">
        <v>68</v>
      </c>
      <c r="B9" s="18">
        <f>B8*(1+Assumptions!B12)/(Assumptions!B26-Assumptions!B12)</f>
        <v>25673389448.105614</v>
      </c>
    </row>
    <row r="10" spans="1:2" x14ac:dyDescent="0.25">
      <c r="A10" t="s">
        <v>69</v>
      </c>
      <c r="B10" s="18">
        <f>B9/(1+Assumptions!B26)^(10-0.5*Assumptions!B32)</f>
        <v>11379134314.779936</v>
      </c>
    </row>
    <row r="11" spans="1:2" x14ac:dyDescent="0.25">
      <c r="A11" t="s">
        <v>70</v>
      </c>
      <c r="B11" s="18">
        <f>Forecast!B17+B10</f>
        <v>21568984115.014038</v>
      </c>
    </row>
    <row r="12" spans="1:2" x14ac:dyDescent="0.25">
      <c r="A12" t="s">
        <v>71</v>
      </c>
      <c r="B12" s="18">
        <f>-Assumptions!B30</f>
        <v>-2395000000</v>
      </c>
    </row>
    <row r="13" spans="1:2" x14ac:dyDescent="0.25">
      <c r="A13" t="s">
        <v>72</v>
      </c>
      <c r="B13" s="18">
        <f>B11+B12</f>
        <v>19173984115.014038</v>
      </c>
    </row>
    <row r="14" spans="1:2" x14ac:dyDescent="0.25">
      <c r="A14" s="19" t="s">
        <v>73</v>
      </c>
      <c r="B14" s="24">
        <f>B13/Assumptions!B31</f>
        <v>90.40067946729863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3175376753.901938</v>
      </c>
    </row>
    <row r="18" spans="1:2" x14ac:dyDescent="0.25">
      <c r="A18" t="s">
        <v>68</v>
      </c>
      <c r="B18" s="18">
        <f>B17*Assumptions!B13</f>
        <v>27626706519.12355</v>
      </c>
    </row>
    <row r="19" spans="1:2" x14ac:dyDescent="0.25">
      <c r="A19" t="s">
        <v>69</v>
      </c>
      <c r="B19" s="18">
        <f>B18/(1+Assumptions!B26)^(10-0.5*Assumptions!B32)</f>
        <v>12244896794.463182</v>
      </c>
    </row>
    <row r="20" spans="1:2" x14ac:dyDescent="0.25">
      <c r="A20" t="s">
        <v>70</v>
      </c>
      <c r="B20" s="18">
        <f>Forecast!B17+B19</f>
        <v>22434746594.69728</v>
      </c>
    </row>
    <row r="21" spans="1:2" x14ac:dyDescent="0.25">
      <c r="A21" t="s">
        <v>71</v>
      </c>
      <c r="B21" s="18">
        <f>-Assumptions!B30</f>
        <v>-2395000000</v>
      </c>
    </row>
    <row r="22" spans="1:2" x14ac:dyDescent="0.25">
      <c r="A22" t="s">
        <v>72</v>
      </c>
      <c r="B22" s="18">
        <f>B20+B21</f>
        <v>20039746594.69728</v>
      </c>
    </row>
    <row r="23" spans="1:2" x14ac:dyDescent="0.25">
      <c r="A23" s="19" t="s">
        <v>73</v>
      </c>
      <c r="B23" s="25">
        <f>B22/Assumptions!B31</f>
        <v>94.4825393432215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95.65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90.40067946729863</v>
      </c>
    </row>
    <row r="29" spans="1:2" x14ac:dyDescent="0.25">
      <c r="A29" s="19" t="s">
        <v>81</v>
      </c>
      <c r="B29" s="11">
        <f>B28/B26-1</f>
        <v>-0.0548805073988643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0.069425</v>
      </c>
      <c r="B5" s="31">
        <v>118.96283206623659</v>
      </c>
      <c r="C5" s="31">
        <v>125.53489914737217</v>
      </c>
      <c r="D5" s="31">
        <v>133.65304786505956</v>
      </c>
      <c r="E5" s="31">
        <v>143.9055147328885</v>
      </c>
      <c r="F5" s="31">
        <v>157.22228587292503</v>
      </c>
    </row>
    <row r="6" spans="1:6" x14ac:dyDescent="0.25">
      <c r="A6" s="30">
        <v>0.079425</v>
      </c>
      <c r="B6" s="31">
        <v>99.24842058702578</v>
      </c>
      <c r="C6" s="31">
        <v>103.26252745972899</v>
      </c>
      <c r="D6" s="31">
        <v>108.06570225049173</v>
      </c>
      <c r="E6" s="31">
        <v>113.89741928952931</v>
      </c>
      <c r="F6" s="31">
        <v>121.10496352279831</v>
      </c>
    </row>
    <row r="7" spans="1:6" x14ac:dyDescent="0.25">
      <c r="A7" s="30">
        <v>0.089425</v>
      </c>
      <c r="B7" s="31">
        <v>84.833117397981</v>
      </c>
      <c r="C7" s="31">
        <v>87.39715848871957</v>
      </c>
      <c r="D7" s="32">
        <v>90.40039626490497</v>
      </c>
      <c r="E7" s="31">
        <v>93.95369232151752</v>
      </c>
      <c r="F7" s="31">
        <v>98.20864747080167</v>
      </c>
    </row>
    <row r="8" spans="1:6" x14ac:dyDescent="0.25">
      <c r="A8" s="30">
        <v>0.099425</v>
      </c>
      <c r="B8" s="31">
        <v>73.83356189282173</v>
      </c>
      <c r="C8" s="31">
        <v>75.51909472411967</v>
      </c>
      <c r="D8" s="31">
        <v>77.46490447237527</v>
      </c>
      <c r="E8" s="31">
        <v>79.7272266976082</v>
      </c>
      <c r="F8" s="31">
        <v>82.37975464242085</v>
      </c>
    </row>
    <row r="9" spans="1:6" x14ac:dyDescent="0.25">
      <c r="A9" s="30">
        <v>0.109425</v>
      </c>
      <c r="B9" s="31">
        <v>65.16425538126653</v>
      </c>
      <c r="C9" s="31">
        <v>66.29096287842088</v>
      </c>
      <c r="D9" s="31">
        <v>67.57938870698844</v>
      </c>
      <c r="E9" s="31">
        <v>69.06007457261859</v>
      </c>
      <c r="F9" s="31">
        <v>70.77176955903232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41691000000</v>
      </c>
      <c r="C5" s="18">
        <v>41528000000</v>
      </c>
      <c r="D5" s="18">
        <v>43452000000</v>
      </c>
      <c r="E5" s="18">
        <v>46298000000</v>
      </c>
      <c r="F5" s="6" t="s">
        <v>91</v>
      </c>
    </row>
    <row r="6" spans="1:6" x14ac:dyDescent="0.25">
      <c r="A6" t="s">
        <v>51</v>
      </c>
      <c r="B6" s="18">
        <v>1750000000</v>
      </c>
      <c r="C6" s="18">
        <v>1734000000</v>
      </c>
      <c r="D6" s="18">
        <v>1727000000</v>
      </c>
      <c r="E6" s="18">
        <v>1942000000</v>
      </c>
      <c r="F6" s="6" t="s">
        <v>92</v>
      </c>
    </row>
    <row r="7" spans="1:6" x14ac:dyDescent="0.25">
      <c r="A7" t="s">
        <v>93</v>
      </c>
      <c r="B7" s="18">
        <v>831000000</v>
      </c>
      <c r="C7" s="18">
        <v>866000000</v>
      </c>
      <c r="D7" s="18">
        <v>923000000</v>
      </c>
      <c r="E7" s="18">
        <v>918000000</v>
      </c>
      <c r="F7" s="6" t="s">
        <v>94</v>
      </c>
    </row>
    <row r="8" spans="1:6" x14ac:dyDescent="0.25">
      <c r="A8" t="s">
        <v>95</v>
      </c>
      <c r="B8" s="18">
        <v>704000000</v>
      </c>
      <c r="C8" s="18">
        <v>706000000</v>
      </c>
      <c r="D8" s="18">
        <v>795000000</v>
      </c>
      <c r="E8" s="18">
        <v>930000000</v>
      </c>
      <c r="F8" s="6" t="s">
        <v>96</v>
      </c>
    </row>
    <row r="9" spans="1:6" x14ac:dyDescent="0.25">
      <c r="A9" t="s">
        <v>97</v>
      </c>
      <c r="B9" s="18">
        <v>539000000</v>
      </c>
      <c r="C9" s="18">
        <v>259000000</v>
      </c>
      <c r="D9" s="18">
        <v>783000000</v>
      </c>
      <c r="E9" s="18">
        <v>861000000</v>
      </c>
      <c r="F9" s="6" t="s">
        <v>98</v>
      </c>
    </row>
    <row r="10" spans="1:6" x14ac:dyDescent="0.25">
      <c r="A10" t="s">
        <v>99</v>
      </c>
      <c r="B10" s="18">
        <v>4133000000</v>
      </c>
      <c r="C10" s="18">
        <v>4053000000</v>
      </c>
      <c r="D10" s="18">
        <v>3982000000</v>
      </c>
      <c r="E10" s="18">
        <v>3978000000</v>
      </c>
      <c r="F10" s="6" t="s">
        <v>100</v>
      </c>
    </row>
    <row r="11" spans="1:6" x14ac:dyDescent="0.25">
      <c r="A11" t="s">
        <v>101</v>
      </c>
      <c r="B11" s="18">
        <v>1738000000</v>
      </c>
      <c r="C11" s="18">
        <v>1578000000</v>
      </c>
      <c r="D11" s="18">
        <v>1447000000</v>
      </c>
      <c r="E11" s="18">
        <v>1874000000</v>
      </c>
      <c r="F11" s="6" t="s">
        <v>102</v>
      </c>
    </row>
    <row r="12" spans="1:6" x14ac:dyDescent="0.25">
      <c r="A12" t="s">
        <v>34</v>
      </c>
      <c r="B12" s="34">
        <v>212100000</v>
      </c>
      <c r="C12" s="34">
        <v>216600000</v>
      </c>
      <c r="D12" s="34">
        <v>218500000</v>
      </c>
      <c r="E12" s="34">
        <v>225700000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