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<sst xmlns="http://schemas.openxmlformats.org/spreadsheetml/2006/main" count="112" uniqueCount="100">
  <si>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Brunello Cucinelli S.p.A. (BC.MI)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</si>
  <si>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</si>
  <si>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</si>
  <si>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</si>
  <si>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</si>
  <si>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</si>
  <si>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</si>
  <si>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</si>
  <si>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</si>
  <si>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</si>
  <si>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</si>
  <si>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</si>
  <si>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</si>
  <si>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</si>
  <si>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</si>
  <si>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</si>
  <si>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</si>
  <si>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</si>
  <si>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</si>
  <si>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</si>
  <si>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</si>
  <si>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</si>
  <si>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</si>
  <si>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</si>
  <si>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</si>
  <si>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</si>
  <si>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</si>
  <si>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</si>
  <si>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</si>
  <si>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</si>
  <si>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</si>
  <si>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</si>
  <si>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</si>
  <si>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</si>
  <si>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</si>
  <si>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</si>
  <si>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</si>
  <si>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</si>
  <si>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</si>
  <si>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</si>
  <si>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</si>
  <si>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</si>
  <si>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</si>
  <si>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</si>
  <si>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</si>
  <si>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</si>
  <si>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</si>
  <si>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</si>
  <si>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</si>
  <si>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</si>
  <si>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</si>
  <si>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</si>
  <si>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</si>
  <si>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</si>
  <si>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</si>
  <si>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</si>
  <si>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</si>
  <si>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</si>
  <si>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</si>
  <si>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</si>
  <si>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</si>
  <si>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</si>
  <si>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</si>
  <si>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</si>
  <si>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</si>
  <si>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</si>
  <si>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</si>
  <si>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</si>
  <si>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</si>
  <si>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</si>
  <si>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</si>
  <si>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</si>
  <si>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</si>
  <si>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</si>
  <si>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</si>
  <si>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</si>
  <si>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</si>
  <si>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</si>
  <si>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</si>
  <si>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</si>
  <si>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</si>
  <si>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</si>
  <si>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</si>
  <si>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</si>
  <si>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</si>
  <si>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</si>
  <si>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</si>
  <si>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</si>
  <si>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</si>
  <si>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</si>
  <si>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</si>
  <si>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</si>
  <si>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</si>
  <si>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</si>
  <si>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</si>
  <si>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</si>
  <si>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</si>
  <si>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</si>
  <si>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USD assumption - no free live source available for this market.</t>
  </si>
  <si>
    <t>Data: Yahoo Finance. Risk-free rate: USD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</si>
</sst>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0.15251306902095174</v>
      </c>
    </row>
    <row r="7" spans="1:2" x14ac:dyDescent="0.25">
      <c r="A7" t="s">
        <v>5</v>
      </c>
      <c r="B7" s="6">
        <v>0.1703755658582776</v>
      </c>
    </row>
    <row r="8" spans="1:2" x14ac:dyDescent="0.25">
      <c r="A8" t="s">
        <v>6</v>
      </c>
      <c r="B8" s="6">
        <v>0.25</v>
      </c>
    </row>
    <row r="9" spans="1:2" x14ac:dyDescent="0.25">
      <c r="A9" t="s">
        <v>7</v>
      </c>
      <c r="B9" s="6">
        <v>0.1283176940108404</v>
      </c>
    </row>
    <row r="10" spans="1:2" x14ac:dyDescent="0.25">
      <c r="A10" t="s">
        <v>8</v>
      </c>
      <c r="B10" s="6">
        <v>0.07772422008049482</v>
      </c>
    </row>
    <row r="11" spans="1:2" x14ac:dyDescent="0.25">
      <c r="A11" t="s">
        <v>9</v>
      </c>
      <c r="B11" s="6">
        <v>0.373073605520414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15.025959954512032</v>
      </c>
    </row>
    <row r="14" spans="1:3" x14ac:dyDescent="0.25">
      <c r="A14" t="s">
        <v>12</v>
      </c>
      <c r="B14" s="6">
        <v>0.21538405969614283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0.042</v>
      </c>
      <c r="C17" s="8" t="s">
        <v>16</v>
      </c>
    </row>
    <row r="18" spans="1:2" x14ac:dyDescent="0.25">
      <c r="A18" t="s">
        <v>17</v>
      </c>
      <c r="B18" s="6">
        <v>0.065</v>
      </c>
    </row>
    <row r="19" spans="1:3" x14ac:dyDescent="0.25">
      <c r="A19" t="s">
        <v>18</v>
      </c>
      <c r="B19" s="9">
        <v>0.92295</v>
      </c>
      <c r="C19" s="8" t="s">
        <v>19</v>
      </c>
    </row>
    <row r="20" spans="1:2" x14ac:dyDescent="0.25">
      <c r="A20" t="s">
        <v>20</v>
      </c>
      <c r="B20" s="10">
        <f>B17+B19*B18</f>
        <v>0.10199175</v>
      </c>
    </row>
    <row r="21" spans="1:3" x14ac:dyDescent="0.25">
      <c r="A21" t="s">
        <v>21</v>
      </c>
      <c r="B21" s="6">
        <v>0.042</v>
      </c>
      <c r="C21" s="8" t="s">
        <v>22</v>
      </c>
    </row>
    <row r="22" spans="1:2" x14ac:dyDescent="0.25">
      <c r="A22" t="s">
        <v>23</v>
      </c>
      <c r="B22" s="11">
        <v>5372000256</v>
      </c>
    </row>
    <row r="23" spans="1:2" x14ac:dyDescent="0.25">
      <c r="A23" t="s">
        <v>24</v>
      </c>
      <c r="B23" s="11">
        <v>1187356000</v>
      </c>
    </row>
    <row r="24" spans="1:2" x14ac:dyDescent="0.25">
      <c r="A24" t="s">
        <v>25</v>
      </c>
      <c r="B24" s="10">
        <f>B22/(B22+B23)</f>
        <v>0.8189828462337448</v>
      </c>
    </row>
    <row r="25" spans="1:2" x14ac:dyDescent="0.25">
      <c r="A25" t="s">
        <v>26</v>
      </c>
      <c r="B25" s="10">
        <f>1-B24</f>
        <v>0.18101715376625516</v>
      </c>
    </row>
    <row r="26" spans="1:2" x14ac:dyDescent="0.25">
      <c r="A26" t="s">
        <v>27</v>
      </c>
      <c r="B26" s="12">
        <f>B24*B20+B25*B21*(1-B8)</f>
        <v>0.0892315340509976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1407951000</v>
      </c>
      <c r="C29" s="8" t="s">
        <v>30</v>
      </c>
    </row>
    <row r="30" spans="1:2" x14ac:dyDescent="0.25">
      <c r="A30" t="s">
        <v>31</v>
      </c>
      <c r="B30" s="11">
        <v>983515000</v>
      </c>
    </row>
    <row r="31" spans="1:2" x14ac:dyDescent="0.25">
      <c r="A31" t="s">
        <v>32</v>
      </c>
      <c r="B31" s="13">
        <v>67975837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0.15251306902095174</v>
      </c>
      <c r="C5" s="10">
        <f>Assumptions!B6</f>
        <v>0.15251306902095174</v>
      </c>
      <c r="D5" s="10">
        <f>Assumptions!B6</f>
        <v>0.15251306902095174</v>
      </c>
      <c r="E5" s="10">
        <f>Assumptions!B6</f>
        <v>0.15251306902095174</v>
      </c>
      <c r="F5" s="10">
        <f>Assumptions!B6</f>
        <v>0.15251306902095174</v>
      </c>
    </row>
    <row r="6" spans="1:6" x14ac:dyDescent="0.25">
      <c r="A6" t="s">
        <v>43</v>
      </c>
      <c r="B6" s="18">
        <f>Assumptions!B29*(1+B5)</f>
        <v>1622681928.041118</v>
      </c>
      <c r="C6" s="18">
        <f>B6*(1+C5)</f>
        <v>1870162128.931504</v>
      </c>
      <c r="D6" s="18">
        <f>C6*(1+D5)</f>
        <v>2155386294.781605</v>
      </c>
      <c r="E6" s="18">
        <f>D6*(1+E5)</f>
        <v>2484110873.524445</v>
      </c>
      <c r="F6" s="18">
        <f>E6*(1+F5)</f>
        <v>2862970246.6339755</v>
      </c>
    </row>
    <row r="7" spans="1:6" x14ac:dyDescent="0.25">
      <c r="A7" t="s">
        <v>5</v>
      </c>
      <c r="B7" s="10">
        <f>Assumptions!B7</f>
        <v>0.1703755658582776</v>
      </c>
      <c r="C7" s="10">
        <f>Assumptions!B7</f>
        <v>0.1703755658582776</v>
      </c>
      <c r="D7" s="10">
        <f>Assumptions!B7</f>
        <v>0.1703755658582776</v>
      </c>
      <c r="E7" s="10">
        <f>Assumptions!B7</f>
        <v>0.1703755658582776</v>
      </c>
      <c r="F7" s="10">
        <f>Assumptions!B7</f>
        <v>0.1703755658582776</v>
      </c>
    </row>
    <row r="8" spans="1:6" x14ac:dyDescent="0.25">
      <c r="A8" t="s">
        <v>44</v>
      </c>
      <c r="B8" s="18">
        <f>B6*B7</f>
        <v>276465351.69800633</v>
      </c>
      <c r="C8" s="18">
        <f>C6*C7</f>
        <v>318629930.9634261</v>
      </c>
      <c r="D8" s="18">
        <f>D6*D7</f>
        <v>367225159.6165922</v>
      </c>
      <c r="E8" s="18">
        <f>E6*E7</f>
        <v>423231795.73142755</v>
      </c>
      <c r="F8" s="18">
        <f>F6*F7</f>
        <v>487780175.80567616</v>
      </c>
    </row>
    <row r="9" spans="1:6" x14ac:dyDescent="0.25">
      <c r="A9" t="s">
        <v>45</v>
      </c>
      <c r="B9" s="18">
        <f>B8*(1-Assumptions!B8)</f>
        <v>207349013.77350473</v>
      </c>
      <c r="C9" s="18">
        <f>C8*(1-Assumptions!B8)</f>
        <v>238972448.22256958</v>
      </c>
      <c r="D9" s="18">
        <f>D8*(1-Assumptions!B8)</f>
        <v>275418869.7124442</v>
      </c>
      <c r="E9" s="18">
        <f>E8*(1-Assumptions!B8)</f>
        <v>317423846.79857063</v>
      </c>
      <c r="F9" s="18">
        <f>F8*(1-Assumptions!B8)</f>
        <v>365835131.8542571</v>
      </c>
    </row>
    <row r="10" spans="1:6" x14ac:dyDescent="0.25">
      <c r="A10" t="s">
        <v>46</v>
      </c>
      <c r="B10" s="18">
        <f>B6*Assumptions!B9</f>
        <v>208218803.1193007</v>
      </c>
      <c r="C10" s="18">
        <f>C6*Assumptions!B9</f>
        <v>239974891.81089458</v>
      </c>
      <c r="D10" s="18">
        <f>D6*Assumptions!B9</f>
        <v>276574199.048945</v>
      </c>
      <c r="E10" s="18">
        <f>E6*Assumptions!B9</f>
        <v>318755378.9579112</v>
      </c>
      <c r="F10" s="18">
        <f>F6*Assumptions!B9</f>
        <v>367369740.0697187</v>
      </c>
    </row>
    <row r="11" spans="1:6" x14ac:dyDescent="0.25">
      <c r="A11" t="s">
        <v>47</v>
      </c>
      <c r="B11" s="18">
        <f>-B6*Assumptions!B10</f>
        <v>-126121687.2957095</v>
      </c>
      <c r="C11" s="18">
        <f>-C6*Assumptions!B10</f>
        <v>-145356892.89527893</v>
      </c>
      <c r="D11" s="18">
        <f>-D6*Assumptions!B10</f>
        <v>-167525718.73408774</v>
      </c>
      <c r="E11" s="18">
        <f>-E6*Assumptions!B10</f>
        <v>-193075580.2381642</v>
      </c>
      <c r="F11" s="18">
        <f>-F6*Assumptions!B10</f>
        <v>-222522129.53328764</v>
      </c>
    </row>
    <row r="12" spans="1:6" x14ac:dyDescent="0.25">
      <c r="A12" t="s">
        <v>48</v>
      </c>
      <c r="B12" s="18">
        <f>-(B6-Assumptions!B29)*Assumptions!B11</f>
        <v>-80110441.54104443</v>
      </c>
      <c r="C12" s="18">
        <f>-(C6-B6)*Assumptions!B11</f>
        <v>-92328330.84109272</v>
      </c>
      <c r="D12" s="18">
        <f>-(D6-C6)*Assumptions!B11</f>
        <v>-106409607.93524963</v>
      </c>
      <c r="E12" s="18">
        <f>-(E6-D6)*Assumptions!B11</f>
        <v>-122638463.81477067</v>
      </c>
      <c r="F12" s="18">
        <f>-(F6-E6)*Assumptions!B11</f>
        <v>-141342432.3111763</v>
      </c>
    </row>
    <row r="13" spans="1:6" x14ac:dyDescent="0.25">
      <c r="A13" s="19" t="s">
        <v>49</v>
      </c>
      <c r="B13" s="20">
        <f>B9+B10+B11+B12</f>
        <v>209335688.05605155</v>
      </c>
      <c r="C13" s="20">
        <f>C9+C10+C11+C12</f>
        <v>241262116.29709256</v>
      </c>
      <c r="D13" s="20">
        <f>D9+D10+D11+D12</f>
        <v>278057742.0920519</v>
      </c>
      <c r="E13" s="20">
        <f>E9+E10+E11+E12</f>
        <v>320465181.703547</v>
      </c>
      <c r="F13" s="20">
        <f>F9+F10+F11+F12</f>
        <v>369340310.0795119</v>
      </c>
    </row>
    <row r="14" spans="1:6" x14ac:dyDescent="0.25">
      <c r="A14" t="s">
        <v>50</v>
      </c>
      <c r="B14" s="21">
        <f>1/(1+Assumptions!$B$26)^(1-0.5*Assumptions!$B$32)</f>
        <v>0.9581641046304209</v>
      </c>
      <c r="C14" s="21">
        <f>1/(1+Assumptions!$B$26)^(2-0.5*Assumptions!$B$32)</f>
        <v>0.8796698173682878</v>
      </c>
      <c r="D14" s="21">
        <f>1/(1+Assumptions!$B$26)^(3-0.5*Assumptions!$B$32)</f>
        <v>0.8076059036747479</v>
      </c>
      <c r="E14" s="21">
        <f>1/(1+Assumptions!$B$26)^(4-0.5*Assumptions!$B$32)</f>
        <v>0.741445577389</v>
      </c>
      <c r="F14" s="21">
        <f>1/(1+Assumptions!$B$26)^(5-0.5*Assumptions!$B$32)</f>
        <v>0.680705207488315</v>
      </c>
    </row>
    <row r="15" spans="1:6" x14ac:dyDescent="0.25">
      <c r="A15" s="19" t="s">
        <v>51</v>
      </c>
      <c r="B15" s="20">
        <f>B13*B14</f>
        <v>200577942.11341974</v>
      </c>
      <c r="C15" s="20">
        <f>C13*C14</f>
        <v>212231001.78095</v>
      </c>
      <c r="D15" s="20">
        <f>D13*D14</f>
        <v>224561074.0760116</v>
      </c>
      <c r="E15" s="20">
        <f>E13*E14</f>
        <v>237607491.6812572</v>
      </c>
      <c r="F15" s="20">
        <f>F13*F14</f>
        <v>251411872.4064727</v>
      </c>
    </row>
    <row r="17" spans="1:2" x14ac:dyDescent="0.25">
      <c r="A17" s="22" t="s">
        <v>52</v>
      </c>
      <c r="B17" s="23">
        <f>SUM(B15:F15)</f>
        <v>1126389382.0581112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369340310.0795119</v>
      </c>
    </row>
    <row r="5" spans="1:2" x14ac:dyDescent="0.25">
      <c r="A5" t="s">
        <v>56</v>
      </c>
      <c r="B5" s="18">
        <f>IF(Assumptions!$B$33=0,B4,B4-Forecast!F11-Forecast!F10-Forecast!F12)</f>
        <v>378279383.35349846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0.11607172803442013</v>
      </c>
    </row>
    <row r="7" spans="1:2" x14ac:dyDescent="0.25">
      <c r="A7" t="s">
        <v>58</v>
      </c>
      <c r="B7" s="18">
        <f>-MAX(Forecast!F9,0)*B6</f>
        <v>-43907541.70563543</v>
      </c>
    </row>
    <row r="8" spans="1:2" x14ac:dyDescent="0.25">
      <c r="A8" t="s">
        <v>59</v>
      </c>
      <c r="B8" s="18">
        <f>IF(OR(Assumptions!$B$33=0,Assumptions!B12&lt;=0),B5,MAX(B5+B7,0))</f>
        <v>334371841.64786303</v>
      </c>
    </row>
    <row r="9" spans="1:2" x14ac:dyDescent="0.25">
      <c r="A9" t="s">
        <v>60</v>
      </c>
      <c r="B9" s="18">
        <f>B8*(1+Assumptions!B12)/(Assumptions!B26-Assumptions!B12)</f>
        <v>5335870343.948861</v>
      </c>
    </row>
    <row r="10" spans="1:2" x14ac:dyDescent="0.25">
      <c r="A10" t="s">
        <v>61</v>
      </c>
      <c r="B10" s="18">
        <f>B9/(1+Assumptions!B26)^(5-0.5*Assumptions!B32)</f>
        <v>3632154729.608456</v>
      </c>
    </row>
    <row r="11" spans="1:2" x14ac:dyDescent="0.25">
      <c r="A11" t="s">
        <v>62</v>
      </c>
      <c r="B11" s="18">
        <f>Forecast!B17+B10</f>
        <v>4758544111.666567</v>
      </c>
    </row>
    <row r="12" spans="1:2" x14ac:dyDescent="0.25">
      <c r="A12" t="s">
        <v>63</v>
      </c>
      <c r="B12" s="18">
        <f>-Assumptions!B30</f>
        <v>-983515000</v>
      </c>
    </row>
    <row r="13" spans="1:2" x14ac:dyDescent="0.25">
      <c r="A13" t="s">
        <v>64</v>
      </c>
      <c r="B13" s="18">
        <f>B11+B12</f>
        <v>3775029111.666567</v>
      </c>
    </row>
    <row r="14" spans="1:2" x14ac:dyDescent="0.25">
      <c r="A14" s="19" t="s">
        <v>65</v>
      </c>
      <c r="B14" s="24">
        <f>B13/Assumptions!B31</f>
        <v>55.53486765696709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855149915.8753948</v>
      </c>
    </row>
    <row r="18" spans="1:2" x14ac:dyDescent="0.25">
      <c r="A18" t="s">
        <v>60</v>
      </c>
      <c r="B18" s="18">
        <f>B17*Assumptions!B13</f>
        <v>12849448391.048016</v>
      </c>
    </row>
    <row r="19" spans="1:2" x14ac:dyDescent="0.25">
      <c r="A19" t="s">
        <v>61</v>
      </c>
      <c r="B19" s="18">
        <f>B18/(1+Assumptions!B26)^(5-0.5*Assumptions!B32)</f>
        <v>8746686433.138735</v>
      </c>
    </row>
    <row r="20" spans="1:2" x14ac:dyDescent="0.25">
      <c r="A20" t="s">
        <v>62</v>
      </c>
      <c r="B20" s="18">
        <f>Forecast!B17+B19</f>
        <v>9873075815.196846</v>
      </c>
    </row>
    <row r="21" spans="1:2" x14ac:dyDescent="0.25">
      <c r="A21" t="s">
        <v>63</v>
      </c>
      <c r="B21" s="18">
        <f>-Assumptions!B30</f>
        <v>-983515000</v>
      </c>
    </row>
    <row r="22" spans="1:2" x14ac:dyDescent="0.25">
      <c r="A22" t="s">
        <v>64</v>
      </c>
      <c r="B22" s="18">
        <f>B20+B21</f>
        <v>8889560815.196846</v>
      </c>
    </row>
    <row r="23" spans="1:2" x14ac:dyDescent="0.25">
      <c r="A23" s="19" t="s">
        <v>65</v>
      </c>
      <c r="B23" s="25">
        <f>B22/Assumptions!B31</f>
        <v>130.77530498369364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55.53486765696709</v>
      </c>
    </row>
    <row r="29" spans="1:2" x14ac:dyDescent="0.25">
      <c r="A29" s="19" t="s">
        <v>73</v>
      </c>
      <c r="B29" s="12">
        <f>B28/B26-1</f>
        <v>-0.29702699168396096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0.069232</v>
      </c>
      <c r="B5" s="31">
        <v>74.62577064230787</v>
      </c>
      <c r="C5" s="31">
        <v>80.31589836983086</v>
      </c>
      <c r="D5" s="31">
        <v>87.27084398884325</v>
      </c>
      <c r="E5" s="31">
        <v>95.97419916870538</v>
      </c>
      <c r="F5" s="31">
        <v>107.19209336176432</v>
      </c>
    </row>
    <row r="6" spans="1:6" x14ac:dyDescent="0.25">
      <c r="A6" s="30">
        <v>0.079232</v>
      </c>
      <c r="B6" s="31">
        <v>60.55788624051869</v>
      </c>
      <c r="C6" s="31">
        <v>64.18976049249788</v>
      </c>
      <c r="D6" s="31">
        <v>68.47442469225658</v>
      </c>
      <c r="E6" s="31">
        <v>73.61077080470977</v>
      </c>
      <c r="F6" s="31">
        <v>79.88762205038599</v>
      </c>
    </row>
    <row r="7" spans="1:6" x14ac:dyDescent="0.25">
      <c r="A7" s="30">
        <v>0.089232</v>
      </c>
      <c r="B7" s="31">
        <v>50.290037105690296</v>
      </c>
      <c r="C7" s="31">
        <v>52.72917388384514</v>
      </c>
      <c r="D7" s="32">
        <v>55.53435866706406</v>
      </c>
      <c r="E7" s="31">
        <v>58.79828999795855</v>
      </c>
      <c r="F7" s="31">
        <v>62.647852339855284</v>
      </c>
    </row>
    <row r="8" spans="1:6" x14ac:dyDescent="0.25">
      <c r="A8" s="30">
        <v>0.099232</v>
      </c>
      <c r="B8" s="31">
        <v>42.46846491378818</v>
      </c>
      <c r="C8" s="31">
        <v>44.1674071081621</v>
      </c>
      <c r="D8" s="31">
        <v>46.08384957588302</v>
      </c>
      <c r="E8" s="31">
        <v>48.26491653841221</v>
      </c>
      <c r="F8" s="31">
        <v>50.77240534632451</v>
      </c>
    </row>
    <row r="9" spans="1:6" x14ac:dyDescent="0.25">
      <c r="A9" s="30">
        <v>0.109232</v>
      </c>
      <c r="B9" s="31">
        <v>36.3140740501628</v>
      </c>
      <c r="C9" s="31">
        <v>37.52970538666671</v>
      </c>
      <c r="D9" s="31">
        <v>38.88003699315606</v>
      </c>
      <c r="E9" s="31">
        <v>40.39056998092153</v>
      </c>
      <c r="F9" s="31">
        <v>42.093676113072576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1407951000</v>
      </c>
      <c r="C5" s="18">
        <v>1278540000</v>
      </c>
      <c r="D5" s="18">
        <v>1139420000</v>
      </c>
      <c r="E5" s="18">
        <v>919708000</v>
      </c>
      <c r="F5" s="8" t="s">
        <v>84</v>
      </c>
    </row>
    <row r="6" spans="1:6" x14ac:dyDescent="0.25">
      <c r="A6" t="s">
        <v>44</v>
      </c>
      <c r="B6" s="18">
        <v>242357000</v>
      </c>
      <c r="C6" s="18">
        <v>219660000</v>
      </c>
      <c r="D6" s="18">
        <v>202985000</v>
      </c>
      <c r="E6" s="18">
        <v>146615000</v>
      </c>
      <c r="F6" s="8" t="s">
        <v>85</v>
      </c>
    </row>
    <row r="7" spans="1:6" x14ac:dyDescent="0.25">
      <c r="A7" t="s">
        <v>86</v>
      </c>
      <c r="B7" s="18">
        <v>180612000</v>
      </c>
      <c r="C7" s="18">
        <v>153004000</v>
      </c>
      <c r="D7" s="18">
        <v>138845000</v>
      </c>
      <c r="E7" s="18">
        <v>131945000</v>
      </c>
      <c r="F7" s="8" t="s">
        <v>87</v>
      </c>
    </row>
    <row r="8" spans="1:6" x14ac:dyDescent="0.25">
      <c r="A8" t="s">
        <v>88</v>
      </c>
      <c r="B8" s="18">
        <v>141686000</v>
      </c>
      <c r="C8" s="18">
        <v>99378000</v>
      </c>
      <c r="D8" s="18">
        <v>73533000</v>
      </c>
      <c r="E8" s="18">
        <v>62541000</v>
      </c>
      <c r="F8" s="8" t="s">
        <v>89</v>
      </c>
    </row>
    <row r="9" spans="1:6" x14ac:dyDescent="0.25">
      <c r="A9" t="s">
        <v>90</v>
      </c>
      <c r="B9" s="18">
        <v>48955000</v>
      </c>
      <c r="C9" s="18">
        <v>51902000</v>
      </c>
      <c r="D9" s="18">
        <v>-446000</v>
      </c>
      <c r="E9" s="18">
        <v>-3207000</v>
      </c>
      <c r="F9" s="8" t="s">
        <v>91</v>
      </c>
    </row>
    <row r="10" spans="1:6" x14ac:dyDescent="0.25">
      <c r="A10" t="s">
        <v>92</v>
      </c>
      <c r="B10" s="18">
        <v>1187356000</v>
      </c>
      <c r="C10" s="18">
        <v>961987000</v>
      </c>
      <c r="D10" s="18">
        <v>666998000</v>
      </c>
      <c r="E10" s="18">
        <v>687640000</v>
      </c>
      <c r="F10" s="8" t="s">
        <v>93</v>
      </c>
    </row>
    <row r="11" spans="1:6" x14ac:dyDescent="0.25">
      <c r="A11" t="s">
        <v>94</v>
      </c>
      <c r="B11" s="18">
        <v>203841000</v>
      </c>
      <c r="C11" s="18">
        <v>182745000</v>
      </c>
      <c r="D11" s="18">
        <v>107827000</v>
      </c>
      <c r="E11" s="18">
        <v>117508000</v>
      </c>
      <c r="F11" s="8" t="s">
        <v>95</v>
      </c>
    </row>
    <row r="12" spans="1:6" x14ac:dyDescent="0.25">
      <c r="A12" t="s">
        <v>32</v>
      </c>
      <c r="B12" s="34">
        <v>67975837</v>
      </c>
      <c r="C12" s="34">
        <v>67996107</v>
      </c>
      <c r="D12" s="34">
        <v>67991109</v>
      </c>
      <c r="E12" s="34">
        <v>68000000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2026-09-19T01:05:22Z</dcterms:modified>
</cp:coreProperties>
</file>