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<sst xmlns="http://schemas.openxmlformats.org/spreadsheetml/2006/main" count="114" uniqueCount="101">
  <si>
    <t>BCE Inc. (BCE.TO)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</si>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</sst>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0.004037617952378225</v>
      </c>
    </row>
    <row r="7" spans="1:2" x14ac:dyDescent="0.25">
      <c r="A7" t="s">
        <v>5</v>
      </c>
      <c r="B7" s="6">
        <v>0.22455164955466006</v>
      </c>
    </row>
    <row r="8" spans="1:2" x14ac:dyDescent="0.25">
      <c r="A8" t="s">
        <v>6</v>
      </c>
      <c r="B8" s="6">
        <v>0.265</v>
      </c>
    </row>
    <row r="9" spans="1:2" x14ac:dyDescent="0.25">
      <c r="A9" t="s">
        <v>7</v>
      </c>
      <c r="B9" s="6">
        <v>0.2038250269811302</v>
      </c>
    </row>
    <row r="10" spans="1:2" x14ac:dyDescent="0.25">
      <c r="A10" t="s">
        <v>8</v>
      </c>
      <c r="B10" s="6">
        <v>0.1845735624480525</v>
      </c>
    </row>
    <row r="11" spans="1:2" x14ac:dyDescent="0.25">
      <c r="A11" t="s">
        <v>9</v>
      </c>
      <c r="B11" s="6">
        <v>0.31462925851703405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6.525994244323513</v>
      </c>
    </row>
    <row r="14" spans="1:3" x14ac:dyDescent="0.25">
      <c r="A14" t="s">
        <v>12</v>
      </c>
      <c r="B14" s="6">
        <v>0.07761815699132985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0.7413799999999999</v>
      </c>
      <c r="C19" s="8" t="s">
        <v>19</v>
      </c>
    </row>
    <row r="20" spans="1:2" x14ac:dyDescent="0.25">
      <c r="A20" t="s">
        <v>20</v>
      </c>
      <c r="B20" s="10">
        <f>B17+B19*B18</f>
        <v>0.0737759</v>
      </c>
    </row>
    <row r="21" spans="1:3" x14ac:dyDescent="0.25">
      <c r="A21" t="s">
        <v>21</v>
      </c>
      <c r="B21" s="6">
        <v>0.04352463739685887</v>
      </c>
      <c r="C21" s="8" t="s">
        <v>22</v>
      </c>
    </row>
    <row r="22" spans="1:2" x14ac:dyDescent="0.25">
      <c r="A22" t="s">
        <v>23</v>
      </c>
      <c r="B22" s="11">
        <v>28815046656</v>
      </c>
    </row>
    <row r="23" spans="1:2" x14ac:dyDescent="0.25">
      <c r="A23" t="s">
        <v>24</v>
      </c>
      <c r="B23" s="11">
        <v>41059000000</v>
      </c>
    </row>
    <row r="24" spans="1:2" x14ac:dyDescent="0.25">
      <c r="A24" t="s">
        <v>25</v>
      </c>
      <c r="B24" s="10">
        <f>B22/(B22+B23)</f>
        <v>0.41238554277327927</v>
      </c>
    </row>
    <row r="25" spans="1:2" x14ac:dyDescent="0.25">
      <c r="A25" t="s">
        <v>26</v>
      </c>
      <c r="B25" s="10">
        <f>1-B24</f>
        <v>0.5876144572267208</v>
      </c>
    </row>
    <row r="26" spans="1:2" x14ac:dyDescent="0.25">
      <c r="A26" t="s">
        <v>27</v>
      </c>
      <c r="B26" s="12">
        <f>B24*B20+B25*B21*(1-B8)</f>
        <v>0.049222258607346796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24468000000</v>
      </c>
      <c r="C29" s="8" t="s">
        <v>30</v>
      </c>
    </row>
    <row r="30" spans="1:2" x14ac:dyDescent="0.25">
      <c r="A30" t="s">
        <v>31</v>
      </c>
      <c r="B30" s="11">
        <v>40739000000</v>
      </c>
    </row>
    <row r="31" spans="1:2" x14ac:dyDescent="0.25">
      <c r="A31" t="s">
        <v>32</v>
      </c>
      <c r="B31" s="13">
        <v>928571429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0.004037617952378225</v>
      </c>
      <c r="C5" s="10">
        <f>Assumptions!B6</f>
        <v>0.004037617952378225</v>
      </c>
      <c r="D5" s="10">
        <f>Assumptions!B6</f>
        <v>0.004037617952378225</v>
      </c>
      <c r="E5" s="10">
        <f>Assumptions!B6</f>
        <v>0.004037617952378225</v>
      </c>
      <c r="F5" s="10">
        <f>Assumptions!B6</f>
        <v>0.004037617952378225</v>
      </c>
    </row>
    <row r="6" spans="1:6" x14ac:dyDescent="0.25">
      <c r="A6" t="s">
        <v>43</v>
      </c>
      <c r="B6" s="18">
        <f>Assumptions!B29*(1+B5)</f>
        <v>24566792436.058792</v>
      </c>
      <c r="C6" s="18">
        <f>B6*(1+C5)</f>
        <v>24665983758.230972</v>
      </c>
      <c r="D6" s="18">
        <f>C6*(1+D5)</f>
        <v>24765575577.066277</v>
      </c>
      <c r="E6" s="18">
        <f>D6*(1+E5)</f>
        <v>24865569509.617218</v>
      </c>
      <c r="F6" s="18">
        <f>E6*(1+F5)</f>
        <v>24965967179.46536</v>
      </c>
    </row>
    <row r="7" spans="1:6" x14ac:dyDescent="0.25">
      <c r="A7" t="s">
        <v>5</v>
      </c>
      <c r="B7" s="10">
        <f>Assumptions!B7</f>
        <v>0.22455164955466006</v>
      </c>
      <c r="C7" s="10">
        <f>Assumptions!B7</f>
        <v>0.22455164955466006</v>
      </c>
      <c r="D7" s="10">
        <f>Assumptions!B7</f>
        <v>0.22455164955466006</v>
      </c>
      <c r="E7" s="10">
        <f>Assumptions!B7</f>
        <v>0.22455164955466006</v>
      </c>
      <c r="F7" s="10">
        <f>Assumptions!B7</f>
        <v>0.22455164955466006</v>
      </c>
    </row>
    <row r="8" spans="1:6" x14ac:dyDescent="0.25">
      <c r="A8" t="s">
        <v>44</v>
      </c>
      <c r="B8" s="18">
        <f>B6*B7</f>
        <v>5516513765.783947</v>
      </c>
      <c r="C8" s="18">
        <f>C6*C7</f>
        <v>5538787340.799218</v>
      </c>
      <c r="D8" s="18">
        <f>D6*D7</f>
        <v>5561150848.000834</v>
      </c>
      <c r="E8" s="18">
        <f>E6*E7</f>
        <v>5583604650.500606</v>
      </c>
      <c r="F8" s="18">
        <f>F6*F7</f>
        <v>5606149112.876451</v>
      </c>
    </row>
    <row r="9" spans="1:6" x14ac:dyDescent="0.25">
      <c r="A9" t="s">
        <v>45</v>
      </c>
      <c r="B9" s="18">
        <f>B8*(1-Assumptions!B8)</f>
        <v>4054637617.851201</v>
      </c>
      <c r="C9" s="18">
        <f>C8*(1-Assumptions!B8)</f>
        <v>4071008695.4874253</v>
      </c>
      <c r="D9" s="18">
        <f>D8*(1-Assumptions!B8)</f>
        <v>4087445873.2806134</v>
      </c>
      <c r="E9" s="18">
        <f>E8*(1-Assumptions!B8)</f>
        <v>4103949418.117945</v>
      </c>
      <c r="F9" s="18">
        <f>F8*(1-Assumptions!B8)</f>
        <v>4120519597.964191</v>
      </c>
    </row>
    <row r="10" spans="1:6" x14ac:dyDescent="0.25">
      <c r="A10" t="s">
        <v>46</v>
      </c>
      <c r="B10" s="18">
        <f>B6*Assumptions!B9</f>
        <v>5007327131.119509</v>
      </c>
      <c r="C10" s="18">
        <f>C6*Assumptions!B9</f>
        <v>5027544805.037547</v>
      </c>
      <c r="D10" s="18">
        <f>D6*Assumptions!B9</f>
        <v>5047844110.198752</v>
      </c>
      <c r="E10" s="18">
        <f>E6*Assumptions!B9</f>
        <v>5068225376.198897</v>
      </c>
      <c r="F10" s="18">
        <f>F6*Assumptions!B9</f>
        <v>5088688933.964538</v>
      </c>
    </row>
    <row r="11" spans="1:6" x14ac:dyDescent="0.25">
      <c r="A11" t="s">
        <v>47</v>
      </c>
      <c r="B11" s="18">
        <f>-B6*Assumptions!B10</f>
        <v>-4534380397.845242</v>
      </c>
      <c r="C11" s="18">
        <f>-C6*Assumptions!B10</f>
        <v>-4552688493.542493</v>
      </c>
      <c r="D11" s="18">
        <f>-D6*Assumptions!B10</f>
        <v>-4571070510.335607</v>
      </c>
      <c r="E11" s="18">
        <f>-E6*Assumptions!B10</f>
        <v>-4589526746.689724</v>
      </c>
      <c r="F11" s="18">
        <f>-F6*Assumptions!B10</f>
        <v>-4608057502.275079</v>
      </c>
    </row>
    <row r="12" spans="1:6" x14ac:dyDescent="0.25">
      <c r="A12" t="s">
        <v>48</v>
      </c>
      <c r="B12" s="18">
        <f>-(B6-Assumptions!B29)*Assumptions!B11</f>
        <v>-31082990.90426926</v>
      </c>
      <c r="C12" s="18">
        <f>-(C6-B6)*Assumptions!B11</f>
        <v>-31208492.146357287</v>
      </c>
      <c r="D12" s="18">
        <f>-(D6-C6)*Assumptions!B11</f>
        <v>-31334500.114514563</v>
      </c>
      <c r="E12" s="18">
        <f>-(E6-D6)*Assumptions!B11</f>
        <v>-31461016.85470503</v>
      </c>
      <c r="F12" s="18">
        <f>-(F6-E6)*Assumptions!B11</f>
        <v>-31588044.4211585</v>
      </c>
    </row>
    <row r="13" spans="1:6" x14ac:dyDescent="0.25">
      <c r="A13" s="19" t="s">
        <v>49</v>
      </c>
      <c r="B13" s="20">
        <f>B9+B10+B11+B12</f>
        <v>4496501360.2212</v>
      </c>
      <c r="C13" s="20">
        <f>C9+C10+C11+C12</f>
        <v>4514656514.8361225</v>
      </c>
      <c r="D13" s="20">
        <f>D9+D10+D11+D12</f>
        <v>4532884973.029245</v>
      </c>
      <c r="E13" s="20">
        <f>E9+E10+E11+E12</f>
        <v>4551187030.772414</v>
      </c>
      <c r="F13" s="20">
        <f>F9+F10+F11+F12</f>
        <v>4569562985.232491</v>
      </c>
    </row>
    <row r="14" spans="1:6" x14ac:dyDescent="0.25">
      <c r="A14" t="s">
        <v>50</v>
      </c>
      <c r="B14" s="21">
        <f>1/(1+Assumptions!$B$26)^(1-0.5*Assumptions!$B$32)</f>
        <v>0.9762617014190195</v>
      </c>
      <c r="C14" s="21">
        <f>1/(1+Assumptions!$B$26)^(2-0.5*Assumptions!$B$32)</f>
        <v>0.9304622480224836</v>
      </c>
      <c r="D14" s="21">
        <f>1/(1+Assumptions!$B$26)^(3-0.5*Assumptions!$B$32)</f>
        <v>0.8868113885207738</v>
      </c>
      <c r="E14" s="21">
        <f>1/(1+Assumptions!$B$26)^(4-0.5*Assumptions!$B$32)</f>
        <v>0.845208325734393</v>
      </c>
      <c r="F14" s="21">
        <f>1/(1+Assumptions!$B$26)^(5-0.5*Assumptions!$B$32)</f>
        <v>0.8055569911910319</v>
      </c>
    </row>
    <row r="15" spans="1:6" x14ac:dyDescent="0.25">
      <c r="A15" s="19" t="s">
        <v>51</v>
      </c>
      <c r="B15" s="20">
        <f>B13*B14</f>
        <v>4389762068.362484</v>
      </c>
      <c r="C15" s="20">
        <f>C13*C14</f>
        <v>4200717449.8437696</v>
      </c>
      <c r="D15" s="20">
        <f>D13*D14</f>
        <v>4019814016.9370155</v>
      </c>
      <c r="E15" s="20">
        <f>E13*E14</f>
        <v>3846701170.3832355</v>
      </c>
      <c r="F15" s="20">
        <f>F13*F14</f>
        <v>3681043409.4417944</v>
      </c>
    </row>
    <row r="17" spans="1:2" x14ac:dyDescent="0.25">
      <c r="A17" s="22" t="s">
        <v>52</v>
      </c>
      <c r="B17" s="23">
        <f>SUM(B15:F15)</f>
        <v>20138038114.9683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4569562985.232491</v>
      </c>
    </row>
    <row r="5" spans="1:2" x14ac:dyDescent="0.25">
      <c r="A5" t="s">
        <v>56</v>
      </c>
      <c r="B5" s="18">
        <f>IF(Assumptions!$B$33=0,B4,B4-Forecast!F11-Forecast!F10-Forecast!F12)</f>
        <v>5039646889.7088785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0.3220895853375205</v>
      </c>
    </row>
    <row r="7" spans="1:2" x14ac:dyDescent="0.25">
      <c r="A7" t="s">
        <v>58</v>
      </c>
      <c r="B7" s="18">
        <f>-MAX(Forecast!F9,0)*B6</f>
        <v>-1623217776.9538577</v>
      </c>
    </row>
    <row r="8" spans="1:2" x14ac:dyDescent="0.25">
      <c r="A8" t="s">
        <v>59</v>
      </c>
      <c r="B8" s="18">
        <f>IF(OR(Assumptions!$B$33=0,Assumptions!B12&lt;=0),B5,MAX(B5+B7,0))</f>
        <v>3416429112.755021</v>
      </c>
    </row>
    <row r="9" spans="1:2" x14ac:dyDescent="0.25">
      <c r="A9" t="s">
        <v>60</v>
      </c>
      <c r="B9" s="18">
        <f>B8*(1+Assumptions!B12)/(Assumptions!B26-Assumptions!B12)</f>
        <v>144571152399.131</v>
      </c>
    </row>
    <row r="10" spans="1:2" x14ac:dyDescent="0.25">
      <c r="A10" t="s">
        <v>61</v>
      </c>
      <c r="B10" s="18">
        <f>B9/(1+Assumptions!B26)^(5-0.5*Assumptions!B32)</f>
        <v>116460302539.66411</v>
      </c>
    </row>
    <row r="11" spans="1:2" x14ac:dyDescent="0.25">
      <c r="A11" t="s">
        <v>62</v>
      </c>
      <c r="B11" s="18">
        <f>Forecast!B17+B10</f>
        <v>136598340654.63242</v>
      </c>
    </row>
    <row r="12" spans="1:2" x14ac:dyDescent="0.25">
      <c r="A12" t="s">
        <v>63</v>
      </c>
      <c r="B12" s="18">
        <f>-Assumptions!B30</f>
        <v>-40739000000</v>
      </c>
    </row>
    <row r="13" spans="1:2" x14ac:dyDescent="0.25">
      <c r="A13" t="s">
        <v>64</v>
      </c>
      <c r="B13" s="18">
        <f>B11+B12</f>
        <v>95859340654.63242</v>
      </c>
    </row>
    <row r="14" spans="1:2" x14ac:dyDescent="0.25">
      <c r="A14" s="19" t="s">
        <v>65</v>
      </c>
      <c r="B14" s="24">
        <f>B13/Assumptions!B31</f>
        <v>103.23313604195808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10694838046.840988</v>
      </c>
    </row>
    <row r="18" spans="1:2" x14ac:dyDescent="0.25">
      <c r="A18" t="s">
        <v>60</v>
      </c>
      <c r="B18" s="18">
        <f>B17*Assumptions!B13</f>
        <v>69794451537.65642</v>
      </c>
    </row>
    <row r="19" spans="1:2" x14ac:dyDescent="0.25">
      <c r="A19" t="s">
        <v>61</v>
      </c>
      <c r="B19" s="18">
        <f>B18/(1+Assumptions!B26)^(5-0.5*Assumptions!B32)</f>
        <v>56223408382.50279</v>
      </c>
    </row>
    <row r="20" spans="1:2" x14ac:dyDescent="0.25">
      <c r="A20" t="s">
        <v>62</v>
      </c>
      <c r="B20" s="18">
        <f>Forecast!B17+B19</f>
        <v>76361446497.4711</v>
      </c>
    </row>
    <row r="21" spans="1:2" x14ac:dyDescent="0.25">
      <c r="A21" t="s">
        <v>63</v>
      </c>
      <c r="B21" s="18">
        <f>-Assumptions!B30</f>
        <v>-40739000000</v>
      </c>
    </row>
    <row r="22" spans="1:2" x14ac:dyDescent="0.25">
      <c r="A22" t="s">
        <v>64</v>
      </c>
      <c r="B22" s="18">
        <f>B20+B21</f>
        <v>35622446497.4711</v>
      </c>
    </row>
    <row r="23" spans="1:2" x14ac:dyDescent="0.25">
      <c r="A23" s="19" t="s">
        <v>65</v>
      </c>
      <c r="B23" s="25">
        <f>B22/Assumptions!B31</f>
        <v>38.36263467187843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30.9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103.23313604195808</v>
      </c>
    </row>
    <row r="29" spans="1:2" x14ac:dyDescent="0.25">
      <c r="A29" s="19" t="s">
        <v>73</v>
      </c>
      <c r="B29" s="12">
        <f>B28/B26-1</f>
        <v>2.340878189060132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0.029222</v>
      </c>
      <c r="B5" s="31">
        <v>253.3494454001205</v>
      </c>
      <c r="C5" s="31">
        <v>370.29315735676175</v>
      </c>
      <c r="D5" s="31">
        <v>763.4959815642652</v>
      </c>
      <c r="E5" s="31" t="s">
        <v>76</v>
      </c>
      <c r="F5" s="31" t="s">
        <v>76</v>
      </c>
    </row>
    <row r="6" spans="1:6" x14ac:dyDescent="0.25">
      <c r="A6" s="30">
        <v>0.039222</v>
      </c>
      <c r="B6" s="31">
        <v>132.63183334144998</v>
      </c>
      <c r="C6" s="31">
        <v>158.12534669732946</v>
      </c>
      <c r="D6" s="31">
        <v>201.3375177717307</v>
      </c>
      <c r="E6" s="31">
        <v>291.08854454533304</v>
      </c>
      <c r="F6" s="31">
        <v>592.722537744811</v>
      </c>
    </row>
    <row r="7" spans="1:6" x14ac:dyDescent="0.25">
      <c r="A7" s="30">
        <v>0.049222</v>
      </c>
      <c r="B7" s="31">
        <v>82.42579530840062</v>
      </c>
      <c r="C7" s="31">
        <v>91.09816344889153</v>
      </c>
      <c r="D7" s="32">
        <v>103.2346270832296</v>
      </c>
      <c r="E7" s="31">
        <v>121.53841336819912</v>
      </c>
      <c r="F7" s="31">
        <v>152.5142220478215</v>
      </c>
    </row>
    <row r="8" spans="1:6" x14ac:dyDescent="0.25">
      <c r="A8" s="30">
        <v>0.059222</v>
      </c>
      <c r="B8" s="31">
        <v>54.898224250562876</v>
      </c>
      <c r="C8" s="31">
        <v>58.199859544374235</v>
      </c>
      <c r="D8" s="31">
        <v>62.38740687020392</v>
      </c>
      <c r="E8" s="31">
        <v>67.91561540607795</v>
      </c>
      <c r="F8" s="31">
        <v>75.6147187475154</v>
      </c>
    </row>
    <row r="9" spans="1:6" x14ac:dyDescent="0.25">
      <c r="A9" s="30">
        <v>0.069222</v>
      </c>
      <c r="B9" s="31">
        <v>37.50278782511037</v>
      </c>
      <c r="C9" s="31">
        <v>38.63164263192247</v>
      </c>
      <c r="D9" s="31">
        <v>39.95726850964751</v>
      </c>
      <c r="E9" s="31">
        <v>41.554918277205914</v>
      </c>
      <c r="F9" s="31">
        <v>43.543823959245515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24468000000</v>
      </c>
      <c r="C5" s="18">
        <v>24409000000</v>
      </c>
      <c r="D5" s="18">
        <v>24673000000</v>
      </c>
      <c r="E5" s="18">
        <v>24174000000</v>
      </c>
      <c r="F5" s="8" t="s">
        <v>85</v>
      </c>
    </row>
    <row r="6" spans="1:6" x14ac:dyDescent="0.25">
      <c r="A6" t="s">
        <v>44</v>
      </c>
      <c r="B6" s="18">
        <v>5420000000</v>
      </c>
      <c r="C6" s="18">
        <v>5548000000</v>
      </c>
      <c r="D6" s="18">
        <v>5499000000</v>
      </c>
      <c r="E6" s="18">
        <v>5476000000</v>
      </c>
      <c r="F6" s="8" t="s">
        <v>86</v>
      </c>
    </row>
    <row r="7" spans="1:6" x14ac:dyDescent="0.25">
      <c r="A7" t="s">
        <v>87</v>
      </c>
      <c r="B7" s="18">
        <v>5238000000</v>
      </c>
      <c r="C7" s="18">
        <v>5041000000</v>
      </c>
      <c r="D7" s="18">
        <v>4918000000</v>
      </c>
      <c r="E7" s="18">
        <v>4723000000</v>
      </c>
      <c r="F7" s="8" t="s">
        <v>88</v>
      </c>
    </row>
    <row r="8" spans="1:6" x14ac:dyDescent="0.25">
      <c r="A8" t="s">
        <v>89</v>
      </c>
      <c r="B8" s="18">
        <v>3703000000</v>
      </c>
      <c r="C8" s="18">
        <v>4428000000</v>
      </c>
      <c r="D8" s="18">
        <v>4764000000</v>
      </c>
      <c r="E8" s="18">
        <v>5136000000</v>
      </c>
      <c r="F8" s="8" t="s">
        <v>90</v>
      </c>
    </row>
    <row r="9" spans="1:6" x14ac:dyDescent="0.25">
      <c r="A9" t="s">
        <v>91</v>
      </c>
      <c r="B9" s="18">
        <v>657000000</v>
      </c>
      <c r="C9" s="18">
        <v>534000000</v>
      </c>
      <c r="D9" s="18">
        <v>157000000</v>
      </c>
      <c r="E9" s="18">
        <v>-325000000</v>
      </c>
      <c r="F9" s="8" t="s">
        <v>92</v>
      </c>
    </row>
    <row r="10" spans="1:6" x14ac:dyDescent="0.25">
      <c r="A10" t="s">
        <v>93</v>
      </c>
      <c r="B10" s="18">
        <v>41059000000</v>
      </c>
      <c r="C10" s="18">
        <v>40504000000</v>
      </c>
      <c r="D10" s="18">
        <v>36177000000</v>
      </c>
      <c r="E10" s="18">
        <v>31920000000</v>
      </c>
      <c r="F10" s="8" t="s">
        <v>94</v>
      </c>
    </row>
    <row r="11" spans="1:6" x14ac:dyDescent="0.25">
      <c r="A11" t="s">
        <v>95</v>
      </c>
      <c r="B11" s="18">
        <v>320000000</v>
      </c>
      <c r="C11" s="18">
        <v>1972000000</v>
      </c>
      <c r="D11" s="18">
        <v>1772000000</v>
      </c>
      <c r="E11" s="18">
        <v>149000000</v>
      </c>
      <c r="F11" s="8" t="s">
        <v>96</v>
      </c>
    </row>
    <row r="12" spans="1:6" x14ac:dyDescent="0.25">
      <c r="A12" t="s">
        <v>32</v>
      </c>
      <c r="B12" s="34">
        <v>928571429</v>
      </c>
      <c r="C12" s="34">
        <v>912300000</v>
      </c>
      <c r="D12" s="34">
        <v>912200000</v>
      </c>
      <c r="E12" s="34">
        <v>912000000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8" spans="1:1" x14ac:dyDescent="0.25">
      <c r="A18" s="36" t="s">
        <v>100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2026-09-19T01:04:52Z</dcterms:modified>
</cp:coreProperties>
</file>