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<sst xmlns="http://schemas.openxmlformats.org/spreadsheetml/2006/main" count="112" uniqueCount="100">
  <si>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Becton, Dickinson and Company (BDX)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</si>
  <si>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</si>
  <si>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</si>
  <si>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</si>
  <si>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</si>
  <si>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</si>
  <si>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</si>
  <si>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</si>
  <si>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</si>
  <si>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</si>
  <si>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</si>
  <si>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</si>
  <si>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</si>
  <si>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</si>
  <si>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</si>
  <si>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</si>
  <si>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</si>
  <si>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</si>
  <si>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</si>
  <si>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</si>
  <si>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</si>
  <si>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</si>
  <si>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</si>
  <si>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</si>
  <si>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</si>
  <si>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</si>
  <si>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</si>
  <si>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</si>
  <si>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</si>
  <si>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</si>
  <si>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</si>
  <si>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</si>
  <si>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</si>
  <si>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</si>
  <si>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</si>
  <si>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</si>
  <si>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</si>
  <si>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</si>
  <si>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</si>
  <si>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</si>
  <si>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</si>
  <si>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</si>
  <si>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</si>
  <si>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</si>
  <si>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</si>
  <si>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</si>
  <si>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</si>
  <si>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</si>
  <si>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</si>
  <si>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</si>
  <si>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</si>
  <si>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</si>
  <si>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</si>
  <si>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</si>
  <si>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</si>
  <si>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</si>
  <si>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</si>
  <si>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</si>
  <si>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</si>
  <si>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</si>
  <si>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</si>
  <si>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</si>
  <si>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</si>
  <si>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</si>
  <si>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</si>
  <si>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</si>
  <si>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</si>
  <si>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</si>
  <si>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</si>
  <si>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</si>
  <si>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</si>
  <si>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</si>
  <si>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</si>
  <si>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</si>
  <si>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</si>
  <si>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</si>
  <si>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</si>
  <si>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</si>
  <si>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</si>
  <si>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</si>
  <si>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</si>
  <si>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</si>
  <si>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</si>
  <si>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</si>
  <si>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</si>
  <si>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</si>
  <si>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</si>
  <si>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</si>
  <si>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</si>
  <si>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</si>
  <si>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</si>
  <si>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</si>
  <si>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</si>
  <si>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</si>
  <si>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</si>
  <si>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</si>
  <si>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</si>
  <si>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</si>
  <si>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4.19% of revenue against depreciation and amortisation of 11.56%. A business cannot depreciate more than it invests indefinitely. Capex has been set to 11.56%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</si>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</sst>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0.04992975699544888</v>
      </c>
    </row>
    <row r="7" spans="1:2" x14ac:dyDescent="0.25">
      <c r="A7" t="s">
        <v>5</v>
      </c>
      <c r="B7" s="6">
        <v>0.13363788192637097</v>
      </c>
    </row>
    <row r="8" spans="1:2" x14ac:dyDescent="0.25">
      <c r="A8" t="s">
        <v>6</v>
      </c>
      <c r="B8" s="6">
        <v>0.09546374391254397</v>
      </c>
    </row>
    <row r="9" spans="1:2" x14ac:dyDescent="0.25">
      <c r="A9" t="s">
        <v>7</v>
      </c>
      <c r="B9" s="6">
        <v>0.11556331457239374</v>
      </c>
    </row>
    <row r="10" spans="1:2" x14ac:dyDescent="0.25">
      <c r="A10" t="s">
        <v>8</v>
      </c>
      <c r="B10" s="6">
        <v>0.11556331457239374</v>
      </c>
    </row>
    <row r="11" spans="1:2" x14ac:dyDescent="0.25">
      <c r="A11" t="s">
        <v>9</v>
      </c>
      <c r="B11" s="6">
        <v>0.4813477737665463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12.448177856093979</v>
      </c>
    </row>
    <row r="14" spans="1:3" x14ac:dyDescent="0.25">
      <c r="A14" t="s">
        <v>12</v>
      </c>
      <c r="B14" s="6">
        <v>0.06902988064185747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0.51492</v>
      </c>
      <c r="C19" s="8" t="s">
        <v>19</v>
      </c>
    </row>
    <row r="20" spans="1:2" x14ac:dyDescent="0.25">
      <c r="A20" t="s">
        <v>20</v>
      </c>
      <c r="B20" s="10">
        <f>B17+B19*B18</f>
        <v>0.0783006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49285672960</v>
      </c>
    </row>
    <row r="23" spans="1:2" x14ac:dyDescent="0.25">
      <c r="A23" t="s">
        <v>24</v>
      </c>
      <c r="B23" s="11">
        <v>19181000000</v>
      </c>
    </row>
    <row r="24" spans="1:2" x14ac:dyDescent="0.25">
      <c r="A24" t="s">
        <v>25</v>
      </c>
      <c r="B24" s="10">
        <f>B22/(B22+B23)</f>
        <v>0.719849100726626</v>
      </c>
    </row>
    <row r="25" spans="1:2" x14ac:dyDescent="0.25">
      <c r="A25" t="s">
        <v>26</v>
      </c>
      <c r="B25" s="10">
        <f>1-B24</f>
        <v>0.280150899273374</v>
      </c>
    </row>
    <row r="26" spans="1:2" x14ac:dyDescent="0.25">
      <c r="A26" t="s">
        <v>27</v>
      </c>
      <c r="B26" s="12">
        <f>B24*B20+B25*B21*(1-B8)</f>
        <v>0.06902988064185747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21840000000</v>
      </c>
      <c r="C29" s="8" t="s">
        <v>30</v>
      </c>
    </row>
    <row r="30" spans="1:2" x14ac:dyDescent="0.25">
      <c r="A30" t="s">
        <v>31</v>
      </c>
      <c r="B30" s="11">
        <v>18532000000</v>
      </c>
    </row>
    <row r="31" spans="1:2" x14ac:dyDescent="0.25">
      <c r="A31" t="s">
        <v>32</v>
      </c>
      <c r="B31" s="13">
        <v>288509000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0.04992975699544888</v>
      </c>
      <c r="C5" s="10">
        <f>Assumptions!B6</f>
        <v>0.04992975699544888</v>
      </c>
      <c r="D5" s="10">
        <f>Assumptions!B6</f>
        <v>0.04992975699544888</v>
      </c>
      <c r="E5" s="10">
        <f>Assumptions!B6</f>
        <v>0.04992975699544888</v>
      </c>
      <c r="F5" s="10">
        <f>Assumptions!B6</f>
        <v>0.04992975699544888</v>
      </c>
    </row>
    <row r="6" spans="1:6" x14ac:dyDescent="0.25">
      <c r="A6" t="s">
        <v>43</v>
      </c>
      <c r="B6" s="18">
        <f>Assumptions!B29*(1+B5)</f>
        <v>22930465892.780605</v>
      </c>
      <c r="C6" s="18">
        <f>B6*(1+C5)</f>
        <v>24075378482.59957</v>
      </c>
      <c r="D6" s="18">
        <f>C6*(1+D5)</f>
        <v>25277456279.809227</v>
      </c>
      <c r="E6" s="18">
        <f>D6*(1+E5)</f>
        <v>26539553529.323185</v>
      </c>
      <c r="F6" s="18">
        <f>E6*(1+F5)</f>
        <v>27864666987.809998</v>
      </c>
    </row>
    <row r="7" spans="1:6" x14ac:dyDescent="0.25">
      <c r="A7" t="s">
        <v>5</v>
      </c>
      <c r="B7" s="10">
        <f>Assumptions!B7</f>
        <v>0.13363788192637097</v>
      </c>
      <c r="C7" s="10">
        <f>Assumptions!B7</f>
        <v>0.13363788192637097</v>
      </c>
      <c r="D7" s="10">
        <f>Assumptions!B7</f>
        <v>0.13363788192637097</v>
      </c>
      <c r="E7" s="10">
        <f>Assumptions!B7</f>
        <v>0.13363788192637097</v>
      </c>
      <c r="F7" s="10">
        <f>Assumptions!B7</f>
        <v>0.13363788192637097</v>
      </c>
    </row>
    <row r="8" spans="1:6" x14ac:dyDescent="0.25">
      <c r="A8" t="s">
        <v>44</v>
      </c>
      <c r="B8" s="18">
        <f>B6*B7</f>
        <v>3064378893.4960914</v>
      </c>
      <c r="C8" s="18">
        <f>C6*C7</f>
        <v>3217382586.9903336</v>
      </c>
      <c r="D8" s="18">
        <f>D6*D7</f>
        <v>3378025717.72015</v>
      </c>
      <c r="E8" s="18">
        <f>E6*E7</f>
        <v>3546689720.9302936</v>
      </c>
      <c r="F8" s="18">
        <f>F6*F7</f>
        <v>3723775076.8345995</v>
      </c>
    </row>
    <row r="9" spans="1:6" x14ac:dyDescent="0.25">
      <c r="A9" t="s">
        <v>45</v>
      </c>
      <c r="B9" s="18">
        <f>B8*(1-Assumptions!B8)</f>
        <v>2771841811.5563755</v>
      </c>
      <c r="C9" s="18">
        <f>C8*(1-Assumptions!B8)</f>
        <v>2910239199.63721</v>
      </c>
      <c r="D9" s="18">
        <f>D8*(1-Assumptions!B8)</f>
        <v>3055546735.673726</v>
      </c>
      <c r="E9" s="18">
        <f>E8*(1-Assumptions!B8)</f>
        <v>3208109441.674152</v>
      </c>
      <c r="F9" s="18">
        <f>F8*(1-Assumptions!B8)</f>
        <v>3368289566.5117474</v>
      </c>
    </row>
    <row r="10" spans="1:6" x14ac:dyDescent="0.25">
      <c r="A10" t="s">
        <v>46</v>
      </c>
      <c r="B10" s="18">
        <f>B6*Assumptions!B9</f>
        <v>2649920643.2589507</v>
      </c>
      <c r="C10" s="18">
        <f>C6*Assumptions!B9</f>
        <v>2782230537.034094</v>
      </c>
      <c r="D10" s="18">
        <f>D6*Assumptions!B9</f>
        <v>2921146631.6535234</v>
      </c>
      <c r="E10" s="18">
        <f>E6*Assumptions!B9</f>
        <v>3066998773.120058</v>
      </c>
      <c r="F10" s="18">
        <f>F6*Assumptions!B9</f>
        <v>3220133276.567282</v>
      </c>
    </row>
    <row r="11" spans="1:6" x14ac:dyDescent="0.25">
      <c r="A11" t="s">
        <v>47</v>
      </c>
      <c r="B11" s="18">
        <f>-B6*Assumptions!B10</f>
        <v>-2649920643.2589507</v>
      </c>
      <c r="C11" s="18">
        <f>-C6*Assumptions!B10</f>
        <v>-2782230537.034094</v>
      </c>
      <c r="D11" s="18">
        <f>-D6*Assumptions!B10</f>
        <v>-2921146631.6535234</v>
      </c>
      <c r="E11" s="18">
        <f>-E6*Assumptions!B10</f>
        <v>-3066998773.120058</v>
      </c>
      <c r="F11" s="18">
        <f>-F6*Assumptions!B10</f>
        <v>-3220133276.567282</v>
      </c>
    </row>
    <row r="12" spans="1:6" x14ac:dyDescent="0.25">
      <c r="A12" t="s">
        <v>48</v>
      </c>
      <c r="B12" s="18">
        <f>-(B6-Assumptions!B29)*Assumptions!B11</f>
        <v>-524893329.8582938</v>
      </c>
      <c r="C12" s="18">
        <f>-(C6-B6)*Assumptions!B11</f>
        <v>-551101126.2666502</v>
      </c>
      <c r="D12" s="18">
        <f>-(D6-C6)*Assumptions!B11</f>
        <v>-578617471.5810617</v>
      </c>
      <c r="E12" s="18">
        <f>-(E6-D6)*Assumptions!B11</f>
        <v>-607507701.330425</v>
      </c>
      <c r="F12" s="18">
        <f>-(F6-E6)*Assumptions!B11</f>
        <v>-637840413.230716</v>
      </c>
    </row>
    <row r="13" spans="1:6" x14ac:dyDescent="0.25">
      <c r="A13" s="19" t="s">
        <v>49</v>
      </c>
      <c r="B13" s="20">
        <f>B9+B10+B11+B12</f>
        <v>2246948481.698082</v>
      </c>
      <c r="C13" s="20">
        <f>C9+C10+C11+C12</f>
        <v>2359138073.3705597</v>
      </c>
      <c r="D13" s="20">
        <f>D9+D10+D11+D12</f>
        <v>2476929264.0926642</v>
      </c>
      <c r="E13" s="20">
        <f>E9+E10+E11+E12</f>
        <v>2600601740.343727</v>
      </c>
      <c r="F13" s="20">
        <f>F9+F10+F11+F12</f>
        <v>2730449153.2810307</v>
      </c>
    </row>
    <row r="14" spans="1:6" x14ac:dyDescent="0.25">
      <c r="A14" t="s">
        <v>50</v>
      </c>
      <c r="B14" s="21">
        <f>1/(1+Assumptions!$B$26)^(1-0.5*Assumptions!$B$32)</f>
        <v>0.9671750348368441</v>
      </c>
      <c r="C14" s="21">
        <f>1/(1+Assumptions!$B$26)^(2-0.5*Assumptions!$B$32)</f>
        <v>0.9047221713355116</v>
      </c>
      <c r="D14" s="21">
        <f>1/(1+Assumptions!$B$26)^(3-0.5*Assumptions!$B$32)</f>
        <v>0.8463020423641539</v>
      </c>
      <c r="E14" s="21">
        <f>1/(1+Assumptions!$B$26)^(4-0.5*Assumptions!$B$32)</f>
        <v>0.7916542443659522</v>
      </c>
      <c r="F14" s="21">
        <f>1/(1+Assumptions!$B$26)^(5-0.5*Assumptions!$B$32)</f>
        <v>0.7405351886802586</v>
      </c>
    </row>
    <row r="15" spans="1:6" x14ac:dyDescent="0.25">
      <c r="A15" s="19" t="s">
        <v>51</v>
      </c>
      <c r="B15" s="20">
        <f>B13*B14</f>
        <v>2173192476.0629363</v>
      </c>
      <c r="C15" s="20">
        <f>C13*C14</f>
        <v>2134364520.2200882</v>
      </c>
      <c r="D15" s="20">
        <f>D13*D14</f>
        <v>2096230294.9931624</v>
      </c>
      <c r="E15" s="20">
        <f>E13*E14</f>
        <v>2058777405.6485937</v>
      </c>
      <c r="F15" s="20">
        <f>F13*F14</f>
        <v>2021993678.9068203</v>
      </c>
    </row>
    <row r="17" spans="1:2" x14ac:dyDescent="0.25">
      <c r="A17" s="22" t="s">
        <v>52</v>
      </c>
      <c r="B17" s="23">
        <f>SUM(B15:F15)</f>
        <v>10484558375.8316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2730449153.2810307</v>
      </c>
    </row>
    <row r="5" spans="1:2" x14ac:dyDescent="0.25">
      <c r="A5" t="s">
        <v>56</v>
      </c>
      <c r="B5" s="18">
        <f>IF(Assumptions!$B$33=0,B4,B4-Forecast!F11-Forecast!F10-Forecast!F12)</f>
        <v>3368289566.5117474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0.3621620053163009</v>
      </c>
    </row>
    <row r="7" spans="1:2" x14ac:dyDescent="0.25">
      <c r="A7" t="s">
        <v>58</v>
      </c>
      <c r="B7" s="18">
        <f>-MAX(Forecast!F9,0)*B6</f>
        <v>-1219866503.8938682</v>
      </c>
    </row>
    <row r="8" spans="1:2" x14ac:dyDescent="0.25">
      <c r="A8" t="s">
        <v>59</v>
      </c>
      <c r="B8" s="18">
        <f>IF(OR(Assumptions!$B$33=0,Assumptions!B12&lt;=0),B5,MAX(B5+B7,0))</f>
        <v>2148423062.617879</v>
      </c>
    </row>
    <row r="9" spans="1:2" x14ac:dyDescent="0.25">
      <c r="A9" t="s">
        <v>60</v>
      </c>
      <c r="B9" s="18">
        <f>B8*(1+Assumptions!B12)/(Assumptions!B26-Assumptions!B12)</f>
        <v>50014526659.64859</v>
      </c>
    </row>
    <row r="10" spans="1:2" x14ac:dyDescent="0.25">
      <c r="A10" t="s">
        <v>61</v>
      </c>
      <c r="B10" s="18">
        <f>B9/(1+Assumptions!B26)^(5-0.5*Assumptions!B32)</f>
        <v>37037516936.65669</v>
      </c>
    </row>
    <row r="11" spans="1:2" x14ac:dyDescent="0.25">
      <c r="A11" t="s">
        <v>62</v>
      </c>
      <c r="B11" s="18">
        <f>Forecast!B17+B10</f>
        <v>47522075312.4883</v>
      </c>
    </row>
    <row r="12" spans="1:2" x14ac:dyDescent="0.25">
      <c r="A12" t="s">
        <v>63</v>
      </c>
      <c r="B12" s="18">
        <f>-Assumptions!B30</f>
        <v>-18532000000</v>
      </c>
    </row>
    <row r="13" spans="1:2" x14ac:dyDescent="0.25">
      <c r="A13" t="s">
        <v>64</v>
      </c>
      <c r="B13" s="18">
        <f>B11+B12</f>
        <v>28990075312.488297</v>
      </c>
    </row>
    <row r="14" spans="1:2" x14ac:dyDescent="0.25">
      <c r="A14" s="19" t="s">
        <v>65</v>
      </c>
      <c r="B14" s="24">
        <f>B13/Assumptions!B31</f>
        <v>100.4823950465611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6943908353.401882</v>
      </c>
    </row>
    <row r="18" spans="1:2" x14ac:dyDescent="0.25">
      <c r="A18" t="s">
        <v>60</v>
      </c>
      <c r="B18" s="18">
        <f>B17*Assumptions!B13</f>
        <v>86439006199.56331</v>
      </c>
    </row>
    <row r="19" spans="1:2" x14ac:dyDescent="0.25">
      <c r="A19" t="s">
        <v>61</v>
      </c>
      <c r="B19" s="18">
        <f>B18/(1+Assumptions!B26)^(5-0.5*Assumptions!B32)</f>
        <v>64011125765.32766</v>
      </c>
    </row>
    <row r="20" spans="1:2" x14ac:dyDescent="0.25">
      <c r="A20" t="s">
        <v>62</v>
      </c>
      <c r="B20" s="18">
        <f>Forecast!B17+B19</f>
        <v>74495684141.15926</v>
      </c>
    </row>
    <row r="21" spans="1:2" x14ac:dyDescent="0.25">
      <c r="A21" t="s">
        <v>63</v>
      </c>
      <c r="B21" s="18">
        <f>-Assumptions!B30</f>
        <v>-18532000000</v>
      </c>
    </row>
    <row r="22" spans="1:2" x14ac:dyDescent="0.25">
      <c r="A22" t="s">
        <v>64</v>
      </c>
      <c r="B22" s="18">
        <f>B20+B21</f>
        <v>55963684141.159256</v>
      </c>
    </row>
    <row r="23" spans="1:2" x14ac:dyDescent="0.25">
      <c r="A23" s="19" t="s">
        <v>65</v>
      </c>
      <c r="B23" s="25">
        <f>B22/Assumptions!B31</f>
        <v>193.9755229166482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180.94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100.4823950465611</v>
      </c>
    </row>
    <row r="29" spans="1:2" x14ac:dyDescent="0.25">
      <c r="A29" s="19" t="s">
        <v>73</v>
      </c>
      <c r="B29" s="12">
        <f>B28/B26-1</f>
        <v>-0.44466455705448715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0.04903</v>
      </c>
      <c r="B5" s="31">
        <v>178.24212486211144</v>
      </c>
      <c r="C5" s="31">
        <v>184.6446115304242</v>
      </c>
      <c r="D5" s="31">
        <v>193.35637814317045</v>
      </c>
      <c r="E5" s="31">
        <v>206.19766638014548</v>
      </c>
      <c r="F5" s="31">
        <v>227.58350292441594</v>
      </c>
    </row>
    <row r="6" spans="1:6" x14ac:dyDescent="0.25">
      <c r="A6" s="30">
        <v>0.05903</v>
      </c>
      <c r="B6" s="31">
        <v>128.04153988080898</v>
      </c>
      <c r="C6" s="31">
        <v>128.80548136250832</v>
      </c>
      <c r="D6" s="31">
        <v>129.5694228442075</v>
      </c>
      <c r="E6" s="31">
        <v>130.33336432590679</v>
      </c>
      <c r="F6" s="31">
        <v>131.0973058076061</v>
      </c>
    </row>
    <row r="7" spans="1:6" x14ac:dyDescent="0.25">
      <c r="A7" s="30">
        <v>0.06903</v>
      </c>
      <c r="B7" s="31">
        <v>99.22965646295005</v>
      </c>
      <c r="C7" s="31">
        <v>99.85587752072452</v>
      </c>
      <c r="D7" s="32">
        <v>100.48209857849893</v>
      </c>
      <c r="E7" s="31">
        <v>101.10831963627335</v>
      </c>
      <c r="F7" s="31">
        <v>101.73454069404778</v>
      </c>
    </row>
    <row r="8" spans="1:6" x14ac:dyDescent="0.25">
      <c r="A8" s="30">
        <v>0.07903</v>
      </c>
      <c r="B8" s="31">
        <v>77.76693449106617</v>
      </c>
      <c r="C8" s="31">
        <v>78.29147283351294</v>
      </c>
      <c r="D8" s="31">
        <v>78.81601117595972</v>
      </c>
      <c r="E8" s="31">
        <v>79.34054951840653</v>
      </c>
      <c r="F8" s="31">
        <v>79.86508786085325</v>
      </c>
    </row>
    <row r="9" spans="1:6" x14ac:dyDescent="0.25">
      <c r="A9" s="30">
        <v>0.08903</v>
      </c>
      <c r="B9" s="31">
        <v>61.17401205391527</v>
      </c>
      <c r="C9" s="31">
        <v>61.62070016052029</v>
      </c>
      <c r="D9" s="31">
        <v>62.06738826712527</v>
      </c>
      <c r="E9" s="31">
        <v>62.51407637373026</v>
      </c>
      <c r="F9" s="31">
        <v>62.96076448033529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21840000000</v>
      </c>
      <c r="C5" s="18">
        <v>20178000000</v>
      </c>
      <c r="D5" s="18">
        <v>19372000000</v>
      </c>
      <c r="E5" s="18">
        <v>18870000000</v>
      </c>
      <c r="F5" s="8" t="s">
        <v>84</v>
      </c>
    </row>
    <row r="6" spans="1:6" x14ac:dyDescent="0.25">
      <c r="A6" t="s">
        <v>44</v>
      </c>
      <c r="B6" s="18">
        <v>2986000000</v>
      </c>
      <c r="C6" s="18">
        <v>2856000000</v>
      </c>
      <c r="D6" s="18">
        <v>2424000000</v>
      </c>
      <c r="E6" s="18">
        <v>2475000000</v>
      </c>
      <c r="F6" s="8" t="s">
        <v>85</v>
      </c>
    </row>
    <row r="7" spans="1:6" x14ac:dyDescent="0.25">
      <c r="A7" t="s">
        <v>86</v>
      </c>
      <c r="B7" s="18">
        <v>2462000000</v>
      </c>
      <c r="C7" s="18">
        <v>2286000000</v>
      </c>
      <c r="D7" s="18">
        <v>2288000000</v>
      </c>
      <c r="E7" s="18">
        <v>2229000000</v>
      </c>
      <c r="F7" s="8" t="s">
        <v>87</v>
      </c>
    </row>
    <row r="8" spans="1:6" x14ac:dyDescent="0.25">
      <c r="A8" t="s">
        <v>88</v>
      </c>
      <c r="B8" s="18">
        <v>760000000</v>
      </c>
      <c r="C8" s="18">
        <v>725000000</v>
      </c>
      <c r="D8" s="18">
        <v>874000000</v>
      </c>
      <c r="E8" s="18">
        <v>973000000</v>
      </c>
      <c r="F8" s="8" t="s">
        <v>89</v>
      </c>
    </row>
    <row r="9" spans="1:6" x14ac:dyDescent="0.25">
      <c r="A9" t="s">
        <v>90</v>
      </c>
      <c r="B9" s="18">
        <v>800000000</v>
      </c>
      <c r="C9" s="18">
        <v>-293000000</v>
      </c>
      <c r="D9" s="18">
        <v>630000000</v>
      </c>
      <c r="E9" s="18">
        <v>1508000000</v>
      </c>
      <c r="F9" s="8" t="s">
        <v>91</v>
      </c>
    </row>
    <row r="10" spans="1:6" x14ac:dyDescent="0.25">
      <c r="A10" t="s">
        <v>92</v>
      </c>
      <c r="B10" s="18">
        <v>19181000000</v>
      </c>
      <c r="C10" s="18">
        <v>20110000000</v>
      </c>
      <c r="D10" s="18">
        <v>15879000000</v>
      </c>
      <c r="E10" s="18">
        <v>16065000000</v>
      </c>
      <c r="F10" s="8" t="s">
        <v>93</v>
      </c>
    </row>
    <row r="11" spans="1:6" x14ac:dyDescent="0.25">
      <c r="A11" t="s">
        <v>94</v>
      </c>
      <c r="B11" s="18">
        <v>649000000</v>
      </c>
      <c r="C11" s="18">
        <v>2162000000</v>
      </c>
      <c r="D11" s="18">
        <v>1424000000</v>
      </c>
      <c r="E11" s="18">
        <v>1014000000</v>
      </c>
      <c r="F11" s="8" t="s">
        <v>95</v>
      </c>
    </row>
    <row r="12" spans="1:6" x14ac:dyDescent="0.25">
      <c r="A12" t="s">
        <v>32</v>
      </c>
      <c r="B12" s="34">
        <v>288509000</v>
      </c>
      <c r="C12" s="34">
        <v>291009000</v>
      </c>
      <c r="D12" s="34">
        <v>288392000</v>
      </c>
      <c r="E12" s="34">
        <v>287364000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