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<sst xmlns="http://schemas.openxmlformats.org/spreadsheetml/2006/main" count="120" uniqueCount="107">
  <si>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Becton, Dickinson and Company (BDX)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</si>
  <si>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</si>
  <si>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</si>
  <si>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</si>
  <si>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</si>
  <si>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</si>
  <si>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</si>
  <si>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</si>
  <si>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</si>
  <si>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</si>
  <si>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</si>
  <si>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</si>
  <si>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</si>
  <si>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</si>
  <si>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</si>
  <si>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</si>
  <si>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</si>
  <si>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</si>
  <si>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</si>
  <si>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</si>
  <si>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</si>
  <si>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</si>
  <si>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</si>
  <si>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</si>
  <si>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4.9x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</si>
  <si>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</si>
  <si>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</si>
  <si>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</si>
  <si>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</si>
  <si>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</si>
  <si>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</si>
  <si>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</si>
  <si>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</si>
  <si>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</si>
  <si>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</si>
  <si>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</si>
  <si>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</si>
  <si>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</si>
  <si>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</si>
  <si>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</si>
  <si>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</si>
  <si>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</si>
  <si>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</si>
  <si>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</si>
  <si>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</si>
  <si>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</si>
  <si>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</si>
  <si>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</si>
  <si>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</si>
  <si>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</si>
  <si>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</si>
  <si>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</si>
  <si>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</si>
  <si>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</si>
  <si>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</si>
  <si>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</si>
  <si>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</si>
  <si>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</si>
  <si>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</si>
  <si>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</si>
  <si>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</si>
  <si>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</si>
  <si>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</si>
  <si>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</si>
  <si>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</si>
  <si>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</si>
  <si>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</si>
  <si>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</si>
  <si>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</si>
  <si>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</si>
  <si>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</si>
  <si>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</si>
  <si>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</si>
  <si>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</si>
  <si>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</si>
  <si>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</si>
  <si>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</si>
  <si>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</si>
  <si>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</si>
  <si>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</si>
  <si>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</si>
  <si>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</si>
  <si>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</si>
  <si>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</si>
  <si>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</si>
  <si>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</si>
  <si>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</si>
  <si>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</si>
  <si>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</si>
  <si>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</si>
  <si>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</si>
  <si>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</si>
  <si>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</si>
  <si>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</si>
  <si>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</si>
  <si>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</si>
  <si>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</si>
  <si>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</si>
  <si>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</si>
  <si>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</si>
  <si>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</si>
  <si>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</si>
  <si>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</si>
  <si>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</si>
  <si>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</si>
  <si>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4.19% of revenue against depreciation and amortisation of 11.56%. A business cannot depreciate more than it invests indefinitely. Capex has been set to 11.56%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</si>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</sst>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-0.11674473672161167</v>
      </c>
    </row>
    <row r="7" spans="1:2" x14ac:dyDescent="0.25">
      <c r="A7" t="s">
        <v>4</v>
      </c>
      <c r="B7" s="5">
        <v>0.13363788192637097</v>
      </c>
    </row>
    <row r="8" spans="1:2" x14ac:dyDescent="0.25">
      <c r="A8" t="s">
        <v>5</v>
      </c>
      <c r="B8" s="5">
        <v>0.09546374391254397</v>
      </c>
    </row>
    <row r="9" spans="1:2" x14ac:dyDescent="0.25">
      <c r="A9" t="s">
        <v>6</v>
      </c>
      <c r="B9" s="5">
        <v>0.11556331457239374</v>
      </c>
    </row>
    <row r="10" spans="1:3" x14ac:dyDescent="0.25">
      <c r="A10" t="s">
        <v>7</v>
      </c>
      <c r="B10" s="5">
        <v>0.11556331457239374</v>
      </c>
      <c r="C10" s="6" t="s">
        <v>8</v>
      </c>
    </row>
    <row r="11" spans="1:2" x14ac:dyDescent="0.25">
      <c r="A11" t="s">
        <v>9</v>
      </c>
      <c r="B11" s="5">
        <v>0.22002632665703076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13.331135013215858</v>
      </c>
    </row>
    <row r="14" spans="1:3" x14ac:dyDescent="0.25">
      <c r="A14" t="s">
        <v>12</v>
      </c>
      <c r="B14" s="5">
        <v>0.06572725465945463</v>
      </c>
      <c r="C14" s="6" t="s">
        <v>13</v>
      </c>
    </row>
    <row r="15" spans="1:3" x14ac:dyDescent="0.25">
      <c r="A15" t="s">
        <v>14</v>
      </c>
      <c r="B15" s="5">
        <v>0.11556331457239374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0.5176</v>
      </c>
      <c r="C19" s="6" t="s">
        <v>21</v>
      </c>
    </row>
    <row r="20" spans="1:2" x14ac:dyDescent="0.25">
      <c r="A20" t="s">
        <v>22</v>
      </c>
      <c r="B20" s="9">
        <f>B17+B19*B18</f>
        <v>0.07083448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54096023552</v>
      </c>
    </row>
    <row r="23" spans="1:2" x14ac:dyDescent="0.25">
      <c r="A23" t="s">
        <v>26</v>
      </c>
      <c r="B23" s="10">
        <v>19181000000</v>
      </c>
    </row>
    <row r="24" spans="1:2" x14ac:dyDescent="0.25">
      <c r="A24" t="s">
        <v>27</v>
      </c>
      <c r="B24" s="9">
        <f>B22/(B22+B23)</f>
        <v>0.7382399138198009</v>
      </c>
    </row>
    <row r="25" spans="1:2" x14ac:dyDescent="0.25">
      <c r="A25" t="s">
        <v>28</v>
      </c>
      <c r="B25" s="9">
        <f>1-B24</f>
        <v>0.2617600861801991</v>
      </c>
    </row>
    <row r="26" spans="1:2" x14ac:dyDescent="0.25">
      <c r="A26" t="s">
        <v>29</v>
      </c>
      <c r="B26" s="11">
        <f>B24*B20+B25*B21*(1-B8)</f>
        <v>0.06572725465945463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21840000000</v>
      </c>
      <c r="C29" s="6" t="s">
        <v>32</v>
      </c>
    </row>
    <row r="30" spans="1:2" x14ac:dyDescent="0.25">
      <c r="A30" t="s">
        <v>33</v>
      </c>
      <c r="B30" s="10">
        <v>18532000000</v>
      </c>
    </row>
    <row r="31" spans="1:2" x14ac:dyDescent="0.25">
      <c r="A31" t="s">
        <v>34</v>
      </c>
      <c r="B31" s="12">
        <v>288509000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-0.11674473672161167</v>
      </c>
      <c r="C5" s="5">
        <v>0.022707290953060344</v>
      </c>
      <c r="D5" s="5">
        <v>0.0229938795839278</v>
      </c>
      <c r="E5" s="5">
        <v>0.023280468214795257</v>
      </c>
      <c r="F5" s="5">
        <v>0.023567056845662716</v>
      </c>
      <c r="G5" s="5">
        <v>0.023853645476530173</v>
      </c>
      <c r="H5" s="5">
        <v>0.02414023410739763</v>
      </c>
      <c r="I5" s="5">
        <v>0.02442682273826509</v>
      </c>
      <c r="J5" s="5">
        <v>0.024713411369132545</v>
      </c>
      <c r="K5" s="5">
        <v>0.025</v>
      </c>
    </row>
    <row r="6" spans="1:11" x14ac:dyDescent="0.25">
      <c r="A6" t="s">
        <v>50</v>
      </c>
      <c r="B6" s="18">
        <f>Assumptions!B29*(1+B5)</f>
        <v>19290294950</v>
      </c>
      <c r="C6" s="18">
        <f>B6*(1+C5)</f>
        <v>19728325290</v>
      </c>
      <c r="D6" s="18">
        <f>C6*(1+D5)</f>
        <v>20181956026.110817</v>
      </c>
      <c r="E6" s="18">
        <f>D6*(1+E5)</f>
        <v>20651801411.889088</v>
      </c>
      <c r="F6" s="18">
        <f>E6*(1+F5)</f>
        <v>21138503589.728416</v>
      </c>
      <c r="G6" s="18">
        <f>F6*(1+G5)</f>
        <v>21642733960.262157</v>
      </c>
      <c r="H6" s="18">
        <f>G6*(1+H5)</f>
        <v>22165194624.78701</v>
      </c>
      <c r="I6" s="18">
        <f>H6*(1+I5)</f>
        <v>22706619904.84583</v>
      </c>
      <c r="J6" s="18">
        <f>I6*(1+J5)</f>
        <v>23267777943.356815</v>
      </c>
      <c r="K6" s="18">
        <f>J6*(1+K5)</f>
        <v>23849472391.940735</v>
      </c>
    </row>
    <row r="7" spans="1:11" x14ac:dyDescent="0.25">
      <c r="A7" t="s">
        <v>4</v>
      </c>
      <c r="B7" s="9">
        <f>Assumptions!B7</f>
        <v>0.13363788192637097</v>
      </c>
      <c r="C7" s="9">
        <f>Assumptions!B7</f>
        <v>0.13363788192637097</v>
      </c>
      <c r="D7" s="9">
        <f>Assumptions!B7</f>
        <v>0.13363788192637097</v>
      </c>
      <c r="E7" s="9">
        <f>Assumptions!B7</f>
        <v>0.13363788192637097</v>
      </c>
      <c r="F7" s="9">
        <f>Assumptions!B7</f>
        <v>0.13363788192637097</v>
      </c>
      <c r="G7" s="9">
        <f>Assumptions!B7</f>
        <v>0.13363788192637097</v>
      </c>
      <c r="H7" s="9">
        <f>Assumptions!B7</f>
        <v>0.13363788192637097</v>
      </c>
      <c r="I7" s="9">
        <f>Assumptions!B7</f>
        <v>0.13363788192637097</v>
      </c>
      <c r="J7" s="9">
        <f>Assumptions!B7</f>
        <v>0.13363788192637097</v>
      </c>
      <c r="K7" s="9">
        <f>Assumptions!B7</f>
        <v>0.13363788192637097</v>
      </c>
    </row>
    <row r="8" spans="1:11" x14ac:dyDescent="0.25">
      <c r="A8" t="s">
        <v>51</v>
      </c>
      <c r="B8" s="18">
        <f>B6*B7</f>
        <v>2577914158.85297</v>
      </c>
      <c r="C8" s="18">
        <f>C6*C7</f>
        <v>2636451605.710058</v>
      </c>
      <c r="D8" s="18">
        <f>D6*D7</f>
        <v>2697073856.4606085</v>
      </c>
      <c r="E8" s="18">
        <f>E6*E7</f>
        <v>2759862998.6488953</v>
      </c>
      <c r="F8" s="18">
        <f>F6*F7</f>
        <v>2824904846.824295</v>
      </c>
      <c r="G8" s="18">
        <f>G6*G7</f>
        <v>2892289125.5453734</v>
      </c>
      <c r="H8" s="18">
        <f>H6*H7</f>
        <v>2962109662.1423187</v>
      </c>
      <c r="I8" s="18">
        <f>I6*I7</f>
        <v>3034464589.7907715</v>
      </c>
      <c r="J8" s="18">
        <f>J6*J7</f>
        <v>3109456561.483337</v>
      </c>
      <c r="K8" s="18">
        <f>K6*K7</f>
        <v>3187192975.52042</v>
      </c>
    </row>
    <row r="9" spans="1:11" x14ac:dyDescent="0.25">
      <c r="A9" t="s">
        <v>52</v>
      </c>
      <c r="B9" s="18">
        <f>B8*(1-Assumptions!B8)</f>
        <v>2331816821.763709</v>
      </c>
      <c r="C9" s="18">
        <f>C8*(1-Assumptions!B8)</f>
        <v>2384766064.784738</v>
      </c>
      <c r="D9" s="18">
        <f>D8*(1-Assumptions!B8)</f>
        <v>2439601088.5142355</v>
      </c>
      <c r="E9" s="18">
        <f>E8*(1-Assumptions!B8)</f>
        <v>2496396144.1121716</v>
      </c>
      <c r="F9" s="18">
        <f>F8*(1-Assumptions!B8)</f>
        <v>2555228853.949756</v>
      </c>
      <c r="G9" s="18">
        <f>G8*(1-Assumptions!B8)</f>
        <v>2616180377.1432743</v>
      </c>
      <c r="H9" s="18">
        <f>H8*(1-Assumptions!B8)</f>
        <v>2679335583.9146924</v>
      </c>
      <c r="I9" s="18">
        <f>I8*(1-Assumptions!B8)</f>
        <v>2744783239.2793026</v>
      </c>
      <c r="J9" s="18">
        <f>J8*(1-Assumptions!B8)</f>
        <v>2812616196.590712</v>
      </c>
      <c r="K9" s="18">
        <f>K8*(1-Assumptions!B8)</f>
        <v>2882931601.50548</v>
      </c>
    </row>
    <row r="10" spans="1:11" x14ac:dyDescent="0.25">
      <c r="A10" t="s">
        <v>53</v>
      </c>
      <c r="B10" s="18">
        <f>B6*Assumptions!B9</f>
        <v>2229250423.5011086</v>
      </c>
      <c r="C10" s="18">
        <f>C6*Assumptions!B9</f>
        <v>2279870661.474781</v>
      </c>
      <c r="D10" s="18">
        <f>D6*Assumptions!B9</f>
        <v>2332293732.931662</v>
      </c>
      <c r="E10" s="18">
        <f>E6*Assumptions!B9</f>
        <v>2386590623.0487437</v>
      </c>
      <c r="F10" s="18">
        <f>F6*Assumptions!B9</f>
        <v>2442835539.9294596</v>
      </c>
      <c r="G10" s="18">
        <f>G6*Assumptions!B9</f>
        <v>2501106072.856405</v>
      </c>
      <c r="H10" s="18">
        <f>H6*Assumptions!B9</f>
        <v>2561483358.982592</v>
      </c>
      <c r="I10" s="18">
        <f>I6*Assumptions!B9</f>
        <v>2624052258.939476</v>
      </c>
      <c r="J10" s="18">
        <f>J6*Assumptions!B9</f>
        <v>2688901541.868748</v>
      </c>
      <c r="K10" s="18">
        <f>K6*Assumptions!B9</f>
        <v>2756124080.415467</v>
      </c>
    </row>
    <row r="11" spans="1:11" x14ac:dyDescent="0.25">
      <c r="A11" t="s">
        <v>54</v>
      </c>
      <c r="B11" s="18">
        <f>-B6*B19</f>
        <v>-2229250423.5011086</v>
      </c>
      <c r="C11" s="18">
        <f>-C6*C19</f>
        <v>-2380656099.939838</v>
      </c>
      <c r="D11" s="18">
        <f>-D6*D19</f>
        <v>-2538499506.333534</v>
      </c>
      <c r="E11" s="18">
        <f>-E6*E19</f>
        <v>-2703100133.5816364</v>
      </c>
      <c r="F11" s="18">
        <f>-F6*F19</f>
        <v>-2874793817.475878</v>
      </c>
      <c r="G11" s="18">
        <f>-G6*G19</f>
        <v>-3053933644.305984</v>
      </c>
      <c r="H11" s="18">
        <f>-H6*H19</f>
        <v>-3240890909.117068</v>
      </c>
      <c r="I11" s="18">
        <f>-I6*I19</f>
        <v>-3436056129.8562336</v>
      </c>
      <c r="J11" s="18">
        <f>-J6*J19</f>
        <v>-3639840120.85395</v>
      </c>
      <c r="K11" s="18">
        <f>-K6*K19</f>
        <v>-3852675129.3077774</v>
      </c>
    </row>
    <row r="12" spans="1:11" x14ac:dyDescent="0.25">
      <c r="A12" t="s">
        <v>55</v>
      </c>
      <c r="B12" s="18">
        <f>-(B6-Assumptions!B29)*Assumptions!B11</f>
        <v>561002236.2103809</v>
      </c>
      <c r="C12" s="18">
        <f>-(C6-B6)*Assumptions!B11</f>
        <v>-96378206.67453025</v>
      </c>
      <c r="D12" s="18">
        <f>-(D6-C6)*Assumptions!B11</f>
        <v>-99810704.52518792</v>
      </c>
      <c r="E12" s="18">
        <f>-(E6-D6)*Assumptions!B11</f>
        <v>-103378354.32954843</v>
      </c>
      <c r="F12" s="18">
        <f>-(F6-E6)*Assumptions!B11</f>
        <v>-107087292.36596443</v>
      </c>
      <c r="G12" s="18">
        <f>-(G6-F6)*Assumptions!B11</f>
        <v>-110943956.21745256</v>
      </c>
      <c r="H12" s="18">
        <f>-(H6-G6)*Assumptions!B11</f>
        <v>-114955100.83819461</v>
      </c>
      <c r="I12" s="18">
        <f>-(I6-H6)*Assumptions!B11</f>
        <v>-119127815.53059603</v>
      </c>
      <c r="J12" s="18">
        <f>-(J6-I6)*Assumptions!B11</f>
        <v>-123469541.88763693</v>
      </c>
      <c r="K12" s="18">
        <f>-(K6-J6)*Assumptions!B11</f>
        <v>-127988092.75870685</v>
      </c>
    </row>
    <row r="13" spans="1:11" x14ac:dyDescent="0.25">
      <c r="A13" s="19" t="s">
        <v>56</v>
      </c>
      <c r="B13" s="20">
        <f>B9+B10+B11+B12</f>
        <v>2892819057.9740906</v>
      </c>
      <c r="C13" s="20">
        <f>C9+C10+C11+C12</f>
        <v>2187602419.6451516</v>
      </c>
      <c r="D13" s="20">
        <f>D9+D10+D11+D12</f>
        <v>2133584610.5871763</v>
      </c>
      <c r="E13" s="20">
        <f>E9+E10+E11+E12</f>
        <v>2076508279.2497306</v>
      </c>
      <c r="F13" s="20">
        <f>F9+F10+F11+F12</f>
        <v>2016183284.037373</v>
      </c>
      <c r="G13" s="20">
        <f>G9+G10+G11+G12</f>
        <v>1952408849.476243</v>
      </c>
      <c r="H13" s="20">
        <f>H9+H10+H11+H12</f>
        <v>1884972932.942022</v>
      </c>
      <c r="I13" s="20">
        <f>I9+I10+I11+I12</f>
        <v>1813651552.831949</v>
      </c>
      <c r="J13" s="20">
        <f>J9+J10+J11+J12</f>
        <v>1738208075.7178733</v>
      </c>
      <c r="K13" s="20">
        <f>K9+K10+K11+K12</f>
        <v>1658392459.854462</v>
      </c>
    </row>
    <row r="14" spans="1:11" x14ac:dyDescent="0.25">
      <c r="A14" t="s">
        <v>57</v>
      </c>
      <c r="B14" s="21">
        <f>1/(1+Assumptions!$B$26)^(1-0.5*Assumptions!$B$32)</f>
        <v>0.9686724848362515</v>
      </c>
      <c r="C14" s="21">
        <f>1/(1+Assumptions!$B$26)^(2-0.5*Assumptions!$B$32)</f>
        <v>0.9089309488906555</v>
      </c>
      <c r="D14" s="21">
        <f>1/(1+Assumptions!$B$26)^(3-0.5*Assumptions!$B$32)</f>
        <v>0.8528738895591984</v>
      </c>
      <c r="E14" s="21">
        <f>1/(1+Assumptions!$B$26)^(4-0.5*Assumptions!$B$32)</f>
        <v>0.8002740718418878</v>
      </c>
      <c r="F14" s="21">
        <f>1/(1+Assumptions!$B$26)^(5-0.5*Assumptions!$B$32)</f>
        <v>0.7509182751431176</v>
      </c>
      <c r="G14" s="21">
        <f>1/(1+Assumptions!$B$26)^(6-0.5*Assumptions!$B$32)</f>
        <v>0.7046064289526573</v>
      </c>
      <c r="H14" s="21">
        <f>1/(1+Assumptions!$B$26)^(7-0.5*Assumptions!$B$32)</f>
        <v>0.6611508018323217</v>
      </c>
      <c r="I14" s="21">
        <f>1/(1+Assumptions!$B$26)^(8-0.5*Assumptions!$B$32)</f>
        <v>0.6203752404207655</v>
      </c>
      <c r="J14" s="21">
        <f>1/(1+Assumptions!$B$26)^(9-0.5*Assumptions!$B$32)</f>
        <v>0.5821144553716062</v>
      </c>
      <c r="K14" s="21">
        <f>1/(1+Assumptions!$B$26)^(10-0.5*Assumptions!$B$32)</f>
        <v>0.5462133513303238</v>
      </c>
    </row>
    <row r="15" spans="1:11" x14ac:dyDescent="0.25">
      <c r="A15" s="19" t="s">
        <v>58</v>
      </c>
      <c r="B15" s="20">
        <f>B13*B14</f>
        <v>2802194225.0694265</v>
      </c>
      <c r="C15" s="20">
        <f>C13*C14</f>
        <v>1988379543.0835617</v>
      </c>
      <c r="D15" s="20">
        <f>D13*D14</f>
        <v>1819678605.5351326</v>
      </c>
      <c r="E15" s="20">
        <f>E13*E14</f>
        <v>1661775735.8485737</v>
      </c>
      <c r="F15" s="20">
        <f>F13*F14</f>
        <v>1513988874.0217304</v>
      </c>
      <c r="G15" s="20">
        <f>G13*G14</f>
        <v>1375679827.285022</v>
      </c>
      <c r="H15" s="20">
        <f>H13*H14</f>
        <v>1246251366.046841</v>
      </c>
      <c r="I15" s="20">
        <f>I13*I14</f>
        <v>1125144518.127615</v>
      </c>
      <c r="J15" s="20">
        <f>J13*J14</f>
        <v>1011836047.3190376</v>
      </c>
      <c r="K15" s="20">
        <f>K13*K14</f>
        <v>905836103.3180451</v>
      </c>
    </row>
    <row r="17" spans="1:2" x14ac:dyDescent="0.25">
      <c r="A17" s="22" t="s">
        <v>59</v>
      </c>
      <c r="B17" s="23">
        <f>SUM(B15:K15)</f>
        <v>15450764845.654987</v>
      </c>
    </row>
    <row r="19" spans="1:11" x14ac:dyDescent="0.25">
      <c r="A19" t="s">
        <v>7</v>
      </c>
      <c r="B19" s="9">
        <f>Assumptions!$B$10+($B$20-Assumptions!$B$10)*0/9</f>
        <v>0.11556331457239374</v>
      </c>
      <c r="C19" s="9">
        <f>Assumptions!$B$10+($B$20-Assumptions!$B$10)*1/9</f>
        <v>0.12067198127286344</v>
      </c>
      <c r="D19" s="9">
        <f>Assumptions!$B$10+($B$20-Assumptions!$B$10)*2/9</f>
        <v>0.12578064797333313</v>
      </c>
      <c r="E19" s="9">
        <f>Assumptions!$B$10+($B$20-Assumptions!$B$10)*3/9</f>
        <v>0.13088931467380283</v>
      </c>
      <c r="F19" s="9">
        <f>Assumptions!$B$10+($B$20-Assumptions!$B$10)*4/9</f>
        <v>0.13599798137427252</v>
      </c>
      <c r="G19" s="9">
        <f>Assumptions!$B$10+($B$20-Assumptions!$B$10)*5/9</f>
        <v>0.1411066480747422</v>
      </c>
      <c r="H19" s="9">
        <f>Assumptions!$B$10+($B$20-Assumptions!$B$10)*6/9</f>
        <v>0.1462153147752119</v>
      </c>
      <c r="I19" s="9">
        <f>Assumptions!$B$10+($B$20-Assumptions!$B$10)*7/9</f>
        <v>0.1513239814756816</v>
      </c>
      <c r="J19" s="9">
        <f>Assumptions!$B$10+($B$20-Assumptions!$B$10)*8/9</f>
        <v>0.1564326481761513</v>
      </c>
      <c r="K19" s="9">
        <f>Assumptions!$B$10+($B$20-Assumptions!$B$10)*9/9</f>
        <v>0.161541314876621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0.161541314876621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1658392459.854462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2882931601.50548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0.380359717282119</v>
      </c>
    </row>
    <row r="7" spans="1:2" x14ac:dyDescent="0.25">
      <c r="A7" t="s">
        <v>66</v>
      </c>
      <c r="B7" s="18">
        <f>-MAX(B5,0)*B6</f>
        <v>-1096551048.8923109</v>
      </c>
    </row>
    <row r="8" spans="1:2" x14ac:dyDescent="0.25">
      <c r="A8" t="s">
        <v>67</v>
      </c>
      <c r="B8" s="18">
        <f>IF(OR(Assumptions!$B$33=0,Assumptions!B12&lt;=0),B5,MAX(B5+B7,0))</f>
        <v>1786380552.613169</v>
      </c>
    </row>
    <row r="9" spans="1:2" x14ac:dyDescent="0.25">
      <c r="A9" t="s">
        <v>68</v>
      </c>
      <c r="B9" s="18">
        <f>B8*(1+Assumptions!B12)/(Assumptions!B26-Assumptions!B12)</f>
        <v>44958593004.58474</v>
      </c>
    </row>
    <row r="10" spans="1:2" x14ac:dyDescent="0.25">
      <c r="A10" t="s">
        <v>69</v>
      </c>
      <c r="B10" s="18">
        <f>B9/(1+Assumptions!B26)^(10-0.5*Assumptions!B32)</f>
        <v>24556983756.130283</v>
      </c>
    </row>
    <row r="11" spans="1:2" x14ac:dyDescent="0.25">
      <c r="A11" t="s">
        <v>70</v>
      </c>
      <c r="B11" s="18">
        <f>Forecast!B17+B10</f>
        <v>40007748601.78527</v>
      </c>
    </row>
    <row r="12" spans="1:2" x14ac:dyDescent="0.25">
      <c r="A12" t="s">
        <v>71</v>
      </c>
      <c r="B12" s="18">
        <f>-Assumptions!B30</f>
        <v>-18532000000</v>
      </c>
    </row>
    <row r="13" spans="1:2" x14ac:dyDescent="0.25">
      <c r="A13" t="s">
        <v>72</v>
      </c>
      <c r="B13" s="18">
        <f>B11+B12</f>
        <v>21475748601.78527</v>
      </c>
    </row>
    <row r="14" spans="1:2" x14ac:dyDescent="0.25">
      <c r="A14" s="19" t="s">
        <v>73</v>
      </c>
      <c r="B14" s="24">
        <f>B13/Assumptions!B31</f>
        <v>74.43701444941154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5943317055.935886</v>
      </c>
    </row>
    <row r="18" spans="1:2" x14ac:dyDescent="0.25">
      <c r="A18" t="s">
        <v>68</v>
      </c>
      <c r="B18" s="18">
        <f>B17*Assumptions!B13</f>
        <v>79231162099.02989</v>
      </c>
    </row>
    <row r="19" spans="1:2" x14ac:dyDescent="0.25">
      <c r="A19" t="s">
        <v>69</v>
      </c>
      <c r="B19" s="18">
        <f>B18/(1+Assumptions!B26)^(10-0.5*Assumptions!B32)</f>
        <v>43277118579.90725</v>
      </c>
    </row>
    <row r="20" spans="1:2" x14ac:dyDescent="0.25">
      <c r="A20" t="s">
        <v>70</v>
      </c>
      <c r="B20" s="18">
        <f>Forecast!B17+B19</f>
        <v>58727883425.56224</v>
      </c>
    </row>
    <row r="21" spans="1:2" x14ac:dyDescent="0.25">
      <c r="A21" t="s">
        <v>71</v>
      </c>
      <c r="B21" s="18">
        <f>-Assumptions!B30</f>
        <v>-18532000000</v>
      </c>
    </row>
    <row r="22" spans="1:2" x14ac:dyDescent="0.25">
      <c r="A22" t="s">
        <v>72</v>
      </c>
      <c r="B22" s="18">
        <f>B20+B21</f>
        <v>40195883425.56224</v>
      </c>
    </row>
    <row r="23" spans="1:2" x14ac:dyDescent="0.25">
      <c r="A23" s="19" t="s">
        <v>73</v>
      </c>
      <c r="B23" s="25">
        <f>B22/Assumptions!B31</f>
        <v>139.32280596294135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198.6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74.43701444941154</v>
      </c>
    </row>
    <row r="29" spans="1:2" x14ac:dyDescent="0.25">
      <c r="A29" s="19" t="s">
        <v>81</v>
      </c>
      <c r="B29" s="11">
        <f>B28/B26-1</f>
        <v>-0.6251912666192773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0.045727</v>
      </c>
      <c r="B5" s="31">
        <v>154.58521731832207</v>
      </c>
      <c r="C5" s="31">
        <v>159.43323932922573</v>
      </c>
      <c r="D5" s="31">
        <v>167.8453735579014</v>
      </c>
      <c r="E5" s="31">
        <v>183.22097673268757</v>
      </c>
      <c r="F5" s="31">
        <v>215.29735044691486</v>
      </c>
    </row>
    <row r="6" spans="1:6" x14ac:dyDescent="0.25">
      <c r="A6" s="30">
        <v>0.055727</v>
      </c>
      <c r="B6" s="31">
        <v>103.76451485779972</v>
      </c>
      <c r="C6" s="31">
        <v>101.39226156804267</v>
      </c>
      <c r="D6" s="31">
        <v>99.0200082782856</v>
      </c>
      <c r="E6" s="31">
        <v>96.64775498852855</v>
      </c>
      <c r="F6" s="31">
        <v>94.27550169877149</v>
      </c>
    </row>
    <row r="7" spans="1:6" x14ac:dyDescent="0.25">
      <c r="A7" s="30">
        <v>0.065727</v>
      </c>
      <c r="B7" s="31">
        <v>78.23800524525765</v>
      </c>
      <c r="C7" s="31">
        <v>76.33777496008763</v>
      </c>
      <c r="D7" s="32">
        <v>74.43754467491756</v>
      </c>
      <c r="E7" s="31">
        <v>72.53731438974755</v>
      </c>
      <c r="F7" s="31">
        <v>70.63708410457751</v>
      </c>
    </row>
    <row r="8" spans="1:6" x14ac:dyDescent="0.25">
      <c r="A8" s="30">
        <v>0.075727</v>
      </c>
      <c r="B8" s="31">
        <v>59.50240251748657</v>
      </c>
      <c r="C8" s="31">
        <v>57.94282290826006</v>
      </c>
      <c r="D8" s="31">
        <v>56.383243299033545</v>
      </c>
      <c r="E8" s="31">
        <v>54.82366368980703</v>
      </c>
      <c r="F8" s="31">
        <v>53.2640840805805</v>
      </c>
    </row>
    <row r="9" spans="1:6" x14ac:dyDescent="0.25">
      <c r="A9" s="30">
        <v>0.085727</v>
      </c>
      <c r="B9" s="31">
        <v>45.177115793742935</v>
      </c>
      <c r="C9" s="31">
        <v>43.873268668594825</v>
      </c>
      <c r="D9" s="31">
        <v>42.569421543446666</v>
      </c>
      <c r="E9" s="31">
        <v>41.26557441829855</v>
      </c>
      <c r="F9" s="31">
        <v>39.96172729315043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21840000000</v>
      </c>
      <c r="C5" s="18">
        <v>20178000000</v>
      </c>
      <c r="D5" s="18">
        <v>19372000000</v>
      </c>
      <c r="E5" s="18">
        <v>18870000000</v>
      </c>
      <c r="F5" s="6" t="s">
        <v>91</v>
      </c>
    </row>
    <row r="6" spans="1:6" x14ac:dyDescent="0.25">
      <c r="A6" t="s">
        <v>51</v>
      </c>
      <c r="B6" s="18">
        <v>2986000000</v>
      </c>
      <c r="C6" s="18">
        <v>2856000000</v>
      </c>
      <c r="D6" s="18">
        <v>2424000000</v>
      </c>
      <c r="E6" s="18">
        <v>2475000000</v>
      </c>
      <c r="F6" s="6" t="s">
        <v>92</v>
      </c>
    </row>
    <row r="7" spans="1:6" x14ac:dyDescent="0.25">
      <c r="A7" t="s">
        <v>93</v>
      </c>
      <c r="B7" s="18">
        <v>2462000000</v>
      </c>
      <c r="C7" s="18">
        <v>2286000000</v>
      </c>
      <c r="D7" s="18">
        <v>2288000000</v>
      </c>
      <c r="E7" s="18">
        <v>2229000000</v>
      </c>
      <c r="F7" s="6" t="s">
        <v>94</v>
      </c>
    </row>
    <row r="8" spans="1:6" x14ac:dyDescent="0.25">
      <c r="A8" t="s">
        <v>95</v>
      </c>
      <c r="B8" s="18">
        <v>760000000</v>
      </c>
      <c r="C8" s="18">
        <v>725000000</v>
      </c>
      <c r="D8" s="18">
        <v>874000000</v>
      </c>
      <c r="E8" s="18">
        <v>973000000</v>
      </c>
      <c r="F8" s="6" t="s">
        <v>96</v>
      </c>
    </row>
    <row r="9" spans="1:6" x14ac:dyDescent="0.25">
      <c r="A9" t="s">
        <v>97</v>
      </c>
      <c r="B9" s="18">
        <v>800000000</v>
      </c>
      <c r="C9" s="18">
        <v>-293000000</v>
      </c>
      <c r="D9" s="18">
        <v>630000000</v>
      </c>
      <c r="E9" s="18">
        <v>1508000000</v>
      </c>
      <c r="F9" s="6" t="s">
        <v>98</v>
      </c>
    </row>
    <row r="10" spans="1:6" x14ac:dyDescent="0.25">
      <c r="A10" t="s">
        <v>99</v>
      </c>
      <c r="B10" s="18">
        <v>19181000000</v>
      </c>
      <c r="C10" s="18">
        <v>20110000000</v>
      </c>
      <c r="D10" s="18">
        <v>15879000000</v>
      </c>
      <c r="E10" s="18">
        <v>16065000000</v>
      </c>
      <c r="F10" s="6" t="s">
        <v>100</v>
      </c>
    </row>
    <row r="11" spans="1:6" x14ac:dyDescent="0.25">
      <c r="A11" t="s">
        <v>101</v>
      </c>
      <c r="B11" s="18">
        <v>649000000</v>
      </c>
      <c r="C11" s="18">
        <v>2162000000</v>
      </c>
      <c r="D11" s="18">
        <v>1424000000</v>
      </c>
      <c r="E11" s="18">
        <v>1014000000</v>
      </c>
      <c r="F11" s="6" t="s">
        <v>102</v>
      </c>
    </row>
    <row r="12" spans="1:6" x14ac:dyDescent="0.25">
      <c r="A12" t="s">
        <v>34</v>
      </c>
      <c r="B12" s="34">
        <v>288509000</v>
      </c>
      <c r="C12" s="34">
        <v>291009000</v>
      </c>
      <c r="D12" s="34">
        <v>288392000</v>
      </c>
      <c r="E12" s="34">
        <v>287364000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