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<sst xmlns="http://schemas.openxmlformats.org/spreadsheetml/2006/main" count="113" uniqueCount="101">
  <si>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Beiersdorf Aktiengesellschaft (BEI.DE)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</si>
  <si>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</si>
  <si>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</si>
  <si>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</si>
  <si>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</si>
  <si>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</si>
  <si>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</si>
  <si>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</si>
  <si>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</si>
  <si>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</si>
  <si>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</si>
  <si>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</si>
  <si>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</si>
  <si>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</si>
  <si>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</si>
  <si>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</si>
  <si>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</si>
  <si>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</si>
  <si>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</si>
  <si>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</si>
  <si>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</si>
  <si>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</si>
  <si>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31.8%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</si>
  <si>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</si>
  <si>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</si>
  <si>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</si>
  <si>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</si>
  <si>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</si>
  <si>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</si>
  <si>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</si>
  <si>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</si>
  <si>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</si>
  <si>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</si>
  <si>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</si>
  <si>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</si>
  <si>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</si>
  <si>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</si>
  <si>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</si>
  <si>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</si>
  <si>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</si>
  <si>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</si>
  <si>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</si>
  <si>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</si>
  <si>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</si>
  <si>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</si>
  <si>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</si>
  <si>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</si>
  <si>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</si>
  <si>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</si>
  <si>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</si>
  <si>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</si>
  <si>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</si>
  <si>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</si>
  <si>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</si>
  <si>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</si>
  <si>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</si>
  <si>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</si>
  <si>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</si>
  <si>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</si>
  <si>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</si>
  <si>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</si>
  <si>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</si>
  <si>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</si>
  <si>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</si>
  <si>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</si>
  <si>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</si>
  <si>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</si>
  <si>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</si>
  <si>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</si>
  <si>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</si>
  <si>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</si>
  <si>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</si>
  <si>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</si>
  <si>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</si>
  <si>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</si>
  <si>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</si>
  <si>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</si>
  <si>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</si>
  <si>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</si>
  <si>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</si>
  <si>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</si>
  <si>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</si>
  <si>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</si>
  <si>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</si>
  <si>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</si>
  <si>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</si>
  <si>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</si>
  <si>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</si>
  <si>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</si>
  <si>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</si>
  <si>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</si>
  <si>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</si>
  <si>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</si>
  <si>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</si>
  <si>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</si>
  <si>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</si>
  <si>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</si>
  <si>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</si>
  <si>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5.2% of revenue against depreciation of 3.7%.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</si>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</sst>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0.038397646535456076</v>
      </c>
    </row>
    <row r="7" spans="1:2" x14ac:dyDescent="0.25">
      <c r="A7" t="s">
        <v>5</v>
      </c>
      <c r="B7" s="6">
        <v>0.13373125161581254</v>
      </c>
    </row>
    <row r="8" spans="1:2" x14ac:dyDescent="0.25">
      <c r="A8" t="s">
        <v>6</v>
      </c>
      <c r="B8" s="6">
        <v>0.29834183813896137</v>
      </c>
    </row>
    <row r="9" spans="1:2" x14ac:dyDescent="0.25">
      <c r="A9" t="s">
        <v>7</v>
      </c>
      <c r="B9" s="6">
        <v>0.03742051150244814</v>
      </c>
    </row>
    <row r="10" spans="1:2" x14ac:dyDescent="0.25">
      <c r="A10" t="s">
        <v>8</v>
      </c>
      <c r="B10" s="6">
        <v>0.05209179720442341</v>
      </c>
    </row>
    <row r="11" spans="1:2" x14ac:dyDescent="0.25">
      <c r="A11" t="s">
        <v>9</v>
      </c>
      <c r="B11" s="6">
        <v>0.17901234567901234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8.112171990543736</v>
      </c>
    </row>
    <row r="14" spans="1:3" x14ac:dyDescent="0.25">
      <c r="A14" t="s">
        <v>12</v>
      </c>
      <c r="B14" s="6">
        <v>0.10828456641787203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0.65696</v>
      </c>
      <c r="C19" s="8" t="s">
        <v>19</v>
      </c>
    </row>
    <row r="20" spans="1:2" x14ac:dyDescent="0.25">
      <c r="A20" t="s">
        <v>20</v>
      </c>
      <c r="B20" s="10">
        <f>B17+B19*B18</f>
        <v>0.06541759999999999</v>
      </c>
    </row>
    <row r="21" spans="1:3" x14ac:dyDescent="0.25">
      <c r="A21" t="s">
        <v>21</v>
      </c>
      <c r="B21" s="6">
        <v>0.046</v>
      </c>
      <c r="C21" s="8" t="s">
        <v>22</v>
      </c>
    </row>
    <row r="22" spans="1:2" x14ac:dyDescent="0.25">
      <c r="A22" t="s">
        <v>23</v>
      </c>
      <c r="B22" s="11">
        <v>16202795008</v>
      </c>
    </row>
    <row r="23" spans="1:2" x14ac:dyDescent="0.25">
      <c r="A23" t="s">
        <v>24</v>
      </c>
      <c r="B23" s="11">
        <v>100000000</v>
      </c>
    </row>
    <row r="24" spans="1:2" x14ac:dyDescent="0.25">
      <c r="A24" t="s">
        <v>25</v>
      </c>
      <c r="B24" s="10">
        <f>B22/(B22+B23)</f>
        <v>0.9938660824753713</v>
      </c>
    </row>
    <row r="25" spans="1:2" x14ac:dyDescent="0.25">
      <c r="A25" t="s">
        <v>26</v>
      </c>
      <c r="B25" s="10">
        <f>1-B24</f>
        <v>0.006133917524628663</v>
      </c>
    </row>
    <row r="26" spans="1:2" x14ac:dyDescent="0.25">
      <c r="A26" t="s">
        <v>27</v>
      </c>
      <c r="B26" s="12">
        <f>B24*B20+B25*B21*(1-B8)</f>
        <v>0.0652143138485264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9852000000</v>
      </c>
      <c r="C29" s="8" t="s">
        <v>30</v>
      </c>
    </row>
    <row r="30" spans="1:2" x14ac:dyDescent="0.25">
      <c r="A30" t="s">
        <v>31</v>
      </c>
      <c r="B30" s="11">
        <v>-2477000000</v>
      </c>
    </row>
    <row r="31" spans="1:2" x14ac:dyDescent="0.25">
      <c r="A31" t="s">
        <v>32</v>
      </c>
      <c r="B31" s="13">
        <v>221028422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0.038397646535456076</v>
      </c>
      <c r="C5" s="10">
        <f>Assumptions!B6</f>
        <v>0.038397646535456076</v>
      </c>
      <c r="D5" s="10">
        <f>Assumptions!B6</f>
        <v>0.038397646535456076</v>
      </c>
      <c r="E5" s="10">
        <f>Assumptions!B6</f>
        <v>0.038397646535456076</v>
      </c>
      <c r="F5" s="10">
        <f>Assumptions!B6</f>
        <v>0.038397646535456076</v>
      </c>
    </row>
    <row r="6" spans="1:6" x14ac:dyDescent="0.25">
      <c r="A6" t="s">
        <v>43</v>
      </c>
      <c r="B6" s="18">
        <f>Assumptions!B29*(1+B5)</f>
        <v>10230293613.667313</v>
      </c>
      <c r="C6" s="18">
        <f>B6*(1+C5)</f>
        <v>10623112811.798843</v>
      </c>
      <c r="D6" s="18">
        <f>C6*(1+D5)</f>
        <v>11031015342.65257</v>
      </c>
      <c r="E6" s="18">
        <f>D6*(1+E5)</f>
        <v>11454580370.706938</v>
      </c>
      <c r="F6" s="18">
        <f>E6*(1+F5)</f>
        <v>11894409298.993317</v>
      </c>
    </row>
    <row r="7" spans="1:6" x14ac:dyDescent="0.25">
      <c r="A7" t="s">
        <v>5</v>
      </c>
      <c r="B7" s="10">
        <f>Assumptions!B7</f>
        <v>0.13373125161581254</v>
      </c>
      <c r="C7" s="10">
        <f>Assumptions!B7</f>
        <v>0.13373125161581254</v>
      </c>
      <c r="D7" s="10">
        <f>Assumptions!B7</f>
        <v>0.13373125161581254</v>
      </c>
      <c r="E7" s="10">
        <f>Assumptions!B7</f>
        <v>0.13373125161581254</v>
      </c>
      <c r="F7" s="10">
        <f>Assumptions!B7</f>
        <v>0.13373125161581254</v>
      </c>
    </row>
    <row r="8" spans="1:6" x14ac:dyDescent="0.25">
      <c r="A8" t="s">
        <v>44</v>
      </c>
      <c r="B8" s="18">
        <f>B6*B7</f>
        <v>1368109969.3529835</v>
      </c>
      <c r="C8" s="18">
        <f>C6*C7</f>
        <v>1420642172.377833</v>
      </c>
      <c r="D8" s="18">
        <f>D6*D7</f>
        <v>1475191488.3661594</v>
      </c>
      <c r="E8" s="18">
        <f>E6*E7</f>
        <v>1531835369.7085567</v>
      </c>
      <c r="F8" s="18">
        <f>F6*F7</f>
        <v>1590654242.7851355</v>
      </c>
    </row>
    <row r="9" spans="1:6" x14ac:dyDescent="0.25">
      <c r="A9" t="s">
        <v>45</v>
      </c>
      <c r="B9" s="18">
        <f>B8*(1-Assumptions!B8)</f>
        <v>959945526.3199763</v>
      </c>
      <c r="C9" s="18">
        <f>C8*(1-Assumptions!B8)</f>
        <v>996805175.3329031</v>
      </c>
      <c r="D9" s="18">
        <f>D8*(1-Assumptions!B8)</f>
        <v>1035080148.1200492</v>
      </c>
      <c r="E9" s="18">
        <f>E8*(1-Assumptions!B8)</f>
        <v>1074824789.7834306</v>
      </c>
      <c r="F9" s="18">
        <f>F8*(1-Assumptions!B8)</f>
        <v>1116095532.1490805</v>
      </c>
    </row>
    <row r="10" spans="1:6" x14ac:dyDescent="0.25">
      <c r="A10" t="s">
        <v>46</v>
      </c>
      <c r="B10" s="18">
        <f>B6*Assumptions!B9</f>
        <v>382822819.84365946</v>
      </c>
      <c r="C10" s="18">
        <f>C6*Assumptions!B9</f>
        <v>397522315.16572285</v>
      </c>
      <c r="D10" s="18">
        <f>D6*Assumptions!B9</f>
        <v>412786236.5134125</v>
      </c>
      <c r="E10" s="18">
        <f>E6*Assumptions!B9</f>
        <v>428636256.5177557</v>
      </c>
      <c r="F10" s="18">
        <f>F6*Assumptions!B9</f>
        <v>445094879.98780555</v>
      </c>
    </row>
    <row r="11" spans="1:6" x14ac:dyDescent="0.25">
      <c r="A11" t="s">
        <v>47</v>
      </c>
      <c r="B11" s="18">
        <f>-B6*Assumptions!B10</f>
        <v>-532914380.2648656</v>
      </c>
      <c r="C11" s="18">
        <f>-C6*Assumptions!B10</f>
        <v>-553377038.2719375</v>
      </c>
      <c r="D11" s="18">
        <f>-D6*Assumptions!B10</f>
        <v>-574625414.1883409</v>
      </c>
      <c r="E11" s="18">
        <f>-E6*Assumptions!B10</f>
        <v>-596689677.7326349</v>
      </c>
      <c r="F11" s="18">
        <f>-F6*Assumptions!B10</f>
        <v>-619601157.0695679</v>
      </c>
    </row>
    <row r="12" spans="1:6" x14ac:dyDescent="0.25">
      <c r="A12" t="s">
        <v>48</v>
      </c>
      <c r="B12" s="18">
        <f>-(B6-Assumptions!B29)*Assumptions!B11</f>
        <v>-67719227.13797571</v>
      </c>
      <c r="C12" s="18">
        <f>-(C6-B6)*Assumptions!B11</f>
        <v>-70319486.08527403</v>
      </c>
      <c r="D12" s="18">
        <f>-(D6-C6)*Assumptions!B11</f>
        <v>-73019588.85653143</v>
      </c>
      <c r="E12" s="18">
        <f>-(E6-D6)*Assumptions!B11</f>
        <v>-75823369.21960892</v>
      </c>
      <c r="F12" s="18">
        <f>-(F6-E6)*Assumptions!B11</f>
        <v>-78734808.15003078</v>
      </c>
    </row>
    <row r="13" spans="1:6" x14ac:dyDescent="0.25">
      <c r="A13" s="19" t="s">
        <v>49</v>
      </c>
      <c r="B13" s="20">
        <f>B9+B10+B11+B12</f>
        <v>742134738.7607944</v>
      </c>
      <c r="C13" s="20">
        <f>C9+C10+C11+C12</f>
        <v>770630966.1414145</v>
      </c>
      <c r="D13" s="20">
        <f>D9+D10+D11+D12</f>
        <v>800221381.5885894</v>
      </c>
      <c r="E13" s="20">
        <f>E9+E10+E11+E12</f>
        <v>830947999.3489425</v>
      </c>
      <c r="F13" s="20">
        <f>F9+F10+F11+F12</f>
        <v>862854446.9172875</v>
      </c>
    </row>
    <row r="14" spans="1:6" x14ac:dyDescent="0.25">
      <c r="A14" t="s">
        <v>50</v>
      </c>
      <c r="B14" s="21">
        <f>1/(1+Assumptions!$B$26)^(1-0.5*Assumptions!$B$32)</f>
        <v>0.9689056829083347</v>
      </c>
      <c r="C14" s="21">
        <f>1/(1+Assumptions!$B$26)^(2-0.5*Assumptions!$B$32)</f>
        <v>0.9095875546468795</v>
      </c>
      <c r="D14" s="21">
        <f>1/(1+Assumptions!$B$26)^(3-0.5*Assumptions!$B$32)</f>
        <v>0.8539009876431523</v>
      </c>
      <c r="E14" s="21">
        <f>1/(1+Assumptions!$B$26)^(4-0.5*Assumptions!$B$32)</f>
        <v>0.8016236512613902</v>
      </c>
      <c r="F14" s="21">
        <f>1/(1+Assumptions!$B$26)^(5-0.5*Assumptions!$B$32)</f>
        <v>0.7525468263425732</v>
      </c>
    </row>
    <row r="15" spans="1:6" x14ac:dyDescent="0.25">
      <c r="A15" s="19" t="s">
        <v>51</v>
      </c>
      <c r="B15" s="20">
        <f>B13*B14</f>
        <v>719058565.8690261</v>
      </c>
      <c r="C15" s="20">
        <f>C13*C14</f>
        <v>700956336.0277314</v>
      </c>
      <c r="D15" s="20">
        <f>D13*D14</f>
        <v>683309828.0716643</v>
      </c>
      <c r="E15" s="20">
        <f>E13*E14</f>
        <v>666107569.2464466</v>
      </c>
      <c r="F15" s="20">
        <f>F13*F14</f>
        <v>649338375.623181</v>
      </c>
    </row>
    <row r="17" spans="1:2" x14ac:dyDescent="0.25">
      <c r="A17" s="22" t="s">
        <v>52</v>
      </c>
      <c r="B17" s="23">
        <f>SUM(B15:F15)</f>
        <v>3418770674.8380494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862854446.9172875</v>
      </c>
    </row>
    <row r="5" spans="1:2" x14ac:dyDescent="0.25">
      <c r="A5" t="s">
        <v>56</v>
      </c>
      <c r="B5" s="18">
        <f>IF(Assumptions!$B$33=0,B4,B4-Forecast!F11-Forecast!F10-Forecast!F12)</f>
        <v>1169547634.907854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0.23087315974027697</v>
      </c>
    </row>
    <row r="7" spans="1:2" x14ac:dyDescent="0.25">
      <c r="A7" t="s">
        <v>58</v>
      </c>
      <c r="B7" s="18">
        <f>-MAX(Forecast!F9,0)*B6</f>
        <v>-270017157.9379441</v>
      </c>
    </row>
    <row r="8" spans="1:2" x14ac:dyDescent="0.25">
      <c r="A8" t="s">
        <v>59</v>
      </c>
      <c r="B8" s="18">
        <f>IF(OR(Assumptions!$B$33=0,Assumptions!B12&lt;=0),B5,MAX(B5+B7,0))</f>
        <v>899530476.9699099</v>
      </c>
    </row>
    <row r="9" spans="1:2" x14ac:dyDescent="0.25">
      <c r="A9" t="s">
        <v>60</v>
      </c>
      <c r="B9" s="18">
        <f>B8*(1+Assumptions!B12)/(Assumptions!B26-Assumptions!B12)</f>
        <v>22927625779.395058</v>
      </c>
    </row>
    <row r="10" spans="1:2" x14ac:dyDescent="0.25">
      <c r="A10" t="s">
        <v>61</v>
      </c>
      <c r="B10" s="18">
        <f>B9/(1+Assumptions!B26)^(5-0.5*Assumptions!B32)</f>
        <v>17254112015.853916</v>
      </c>
    </row>
    <row r="11" spans="1:2" x14ac:dyDescent="0.25">
      <c r="A11" t="s">
        <v>62</v>
      </c>
      <c r="B11" s="18">
        <f>Forecast!B17+B10</f>
        <v>20672882690.691967</v>
      </c>
    </row>
    <row r="12" spans="1:2" x14ac:dyDescent="0.25">
      <c r="A12" t="s">
        <v>63</v>
      </c>
      <c r="B12" s="18">
        <f>-Assumptions!B30</f>
        <v>2477000000</v>
      </c>
    </row>
    <row r="13" spans="1:2" x14ac:dyDescent="0.25">
      <c r="A13" t="s">
        <v>64</v>
      </c>
      <c r="B13" s="18">
        <f>B11+B12</f>
        <v>23149882690.691967</v>
      </c>
    </row>
    <row r="14" spans="1:2" x14ac:dyDescent="0.25">
      <c r="A14" s="19" t="s">
        <v>65</v>
      </c>
      <c r="B14" s="24">
        <f>B13/Assumptions!B31</f>
        <v>104.73713055188878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2035749122.772941</v>
      </c>
    </row>
    <row r="18" spans="1:2" x14ac:dyDescent="0.25">
      <c r="A18" t="s">
        <v>60</v>
      </c>
      <c r="B18" s="18">
        <f>B17*Assumptions!B13</f>
        <v>16514347013.532635</v>
      </c>
    </row>
    <row r="19" spans="1:2" x14ac:dyDescent="0.25">
      <c r="A19" t="s">
        <v>61</v>
      </c>
      <c r="B19" s="18">
        <f>B18/(1+Assumptions!B26)^(5-0.5*Assumptions!B32)</f>
        <v>12427819434.153936</v>
      </c>
    </row>
    <row r="20" spans="1:2" x14ac:dyDescent="0.25">
      <c r="A20" t="s">
        <v>62</v>
      </c>
      <c r="B20" s="18">
        <f>Forecast!B17+B19</f>
        <v>15846590108.991985</v>
      </c>
    </row>
    <row r="21" spans="1:2" x14ac:dyDescent="0.25">
      <c r="A21" t="s">
        <v>63</v>
      </c>
      <c r="B21" s="18">
        <f>-Assumptions!B30</f>
        <v>2477000000</v>
      </c>
    </row>
    <row r="22" spans="1:2" x14ac:dyDescent="0.25">
      <c r="A22" t="s">
        <v>64</v>
      </c>
      <c r="B22" s="18">
        <f>B20+B21</f>
        <v>18323590108.991985</v>
      </c>
    </row>
    <row r="23" spans="1:2" x14ac:dyDescent="0.25">
      <c r="A23" s="19" t="s">
        <v>65</v>
      </c>
      <c r="B23" s="25">
        <f>B22/Assumptions!B31</f>
        <v>82.90151077942359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74.3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104.73713055188878</v>
      </c>
    </row>
    <row r="29" spans="1:2" x14ac:dyDescent="0.25">
      <c r="A29" s="19" t="s">
        <v>73</v>
      </c>
      <c r="B29" s="12">
        <f>B28/B26-1</f>
        <v>0.4096518243861209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0.045214</v>
      </c>
      <c r="B5" s="31">
        <v>152.9160587163308</v>
      </c>
      <c r="C5" s="31">
        <v>170.4436314842036</v>
      </c>
      <c r="D5" s="31">
        <v>196.54315105515823</v>
      </c>
      <c r="E5" s="31">
        <v>239.66599129840924</v>
      </c>
      <c r="F5" s="31">
        <v>324.8121336203054</v>
      </c>
    </row>
    <row r="6" spans="1:6" x14ac:dyDescent="0.25">
      <c r="A6" s="30">
        <v>0.055214</v>
      </c>
      <c r="B6" s="31">
        <v>117.37490059305156</v>
      </c>
      <c r="C6" s="31">
        <v>125.15325800060633</v>
      </c>
      <c r="D6" s="31">
        <v>135.44254302211587</v>
      </c>
      <c r="E6" s="31">
        <v>149.73652555562583</v>
      </c>
      <c r="F6" s="31">
        <v>171.00693127047458</v>
      </c>
    </row>
    <row r="7" spans="1:6" x14ac:dyDescent="0.25">
      <c r="A7" s="30">
        <v>0.065214</v>
      </c>
      <c r="B7" s="31">
        <v>96.01499745465797</v>
      </c>
      <c r="C7" s="31">
        <v>99.9144495747575</v>
      </c>
      <c r="D7" s="32">
        <v>104.73785445203691</v>
      </c>
      <c r="E7" s="31">
        <v>110.87878541976423</v>
      </c>
      <c r="F7" s="31">
        <v>118.99133963014424</v>
      </c>
    </row>
    <row r="8" spans="1:6" x14ac:dyDescent="0.25">
      <c r="A8" s="30">
        <v>0.075214</v>
      </c>
      <c r="B8" s="31">
        <v>81.76965174902925</v>
      </c>
      <c r="C8" s="31">
        <v>83.83149029132383</v>
      </c>
      <c r="D8" s="31">
        <v>86.26882989889219</v>
      </c>
      <c r="E8" s="31">
        <v>89.20624517205964</v>
      </c>
      <c r="F8" s="31">
        <v>92.83026654758912</v>
      </c>
    </row>
    <row r="9" spans="1:6" x14ac:dyDescent="0.25">
      <c r="A9" s="30">
        <v>0.085214</v>
      </c>
      <c r="B9" s="31">
        <v>71.59804447295521</v>
      </c>
      <c r="C9" s="31">
        <v>72.69176808291488</v>
      </c>
      <c r="D9" s="31">
        <v>73.93904727258631</v>
      </c>
      <c r="E9" s="31">
        <v>75.38159852140726</v>
      </c>
      <c r="F9" s="31">
        <v>77.07775378634678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9852000000</v>
      </c>
      <c r="C5" s="18">
        <v>9850000000</v>
      </c>
      <c r="D5" s="18">
        <v>9447000000</v>
      </c>
      <c r="E5" s="18">
        <v>8799000000</v>
      </c>
      <c r="F5" s="8" t="s">
        <v>84</v>
      </c>
    </row>
    <row r="6" spans="1:6" x14ac:dyDescent="0.25">
      <c r="A6" t="s">
        <v>44</v>
      </c>
      <c r="B6" s="18">
        <v>1364000000</v>
      </c>
      <c r="C6" s="18">
        <v>1341000000</v>
      </c>
      <c r="D6" s="18">
        <v>1171000000</v>
      </c>
      <c r="E6" s="18">
        <v>1200000000</v>
      </c>
      <c r="F6" s="8" t="s">
        <v>85</v>
      </c>
    </row>
    <row r="7" spans="1:6" x14ac:dyDescent="0.25">
      <c r="A7" t="s">
        <v>86</v>
      </c>
      <c r="B7" s="18">
        <v>328000000</v>
      </c>
      <c r="C7" s="18">
        <v>357000000</v>
      </c>
      <c r="D7" s="18">
        <v>449000000</v>
      </c>
      <c r="E7" s="18">
        <v>287000000</v>
      </c>
      <c r="F7" s="8" t="s">
        <v>87</v>
      </c>
    </row>
    <row r="8" spans="1:6" x14ac:dyDescent="0.25">
      <c r="A8" t="s">
        <v>88</v>
      </c>
      <c r="B8" s="18">
        <v>463000000</v>
      </c>
      <c r="C8" s="18">
        <v>437000000</v>
      </c>
      <c r="D8" s="18">
        <v>517000000</v>
      </c>
      <c r="E8" s="18">
        <v>548000000</v>
      </c>
      <c r="F8" s="8" t="s">
        <v>89</v>
      </c>
    </row>
    <row r="9" spans="1:6" x14ac:dyDescent="0.25">
      <c r="A9" t="s">
        <v>90</v>
      </c>
      <c r="B9" s="18">
        <v>290000000</v>
      </c>
      <c r="C9" s="18">
        <v>38000000</v>
      </c>
      <c r="D9" s="18">
        <v>116000000</v>
      </c>
      <c r="E9" s="18">
        <v>287000000</v>
      </c>
      <c r="F9" s="8" t="s">
        <v>91</v>
      </c>
    </row>
    <row r="10" spans="1:6" x14ac:dyDescent="0.25">
      <c r="A10" t="s">
        <v>92</v>
      </c>
      <c r="B10" s="18">
        <v>100000000</v>
      </c>
      <c r="C10" s="18">
        <v>114000000</v>
      </c>
      <c r="D10" s="18">
        <v>102000000</v>
      </c>
      <c r="E10" s="18">
        <v>241000000</v>
      </c>
      <c r="F10" s="8" t="s">
        <v>93</v>
      </c>
    </row>
    <row r="11" spans="1:6" x14ac:dyDescent="0.25">
      <c r="A11" t="s">
        <v>94</v>
      </c>
      <c r="B11" s="18">
        <v>2577000000</v>
      </c>
      <c r="C11" s="18">
        <v>2503000000</v>
      </c>
      <c r="D11" s="18">
        <v>2383000000</v>
      </c>
      <c r="E11" s="18">
        <v>1998000000</v>
      </c>
      <c r="F11" s="8" t="s">
        <v>95</v>
      </c>
    </row>
    <row r="12" spans="1:6" x14ac:dyDescent="0.25">
      <c r="A12" t="s">
        <v>32</v>
      </c>
      <c r="B12" s="34">
        <v>221028422</v>
      </c>
      <c r="C12" s="34">
        <v>223214380</v>
      </c>
      <c r="D12" s="34">
        <v>226818984</v>
      </c>
      <c r="E12" s="34">
        <v>226818984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2026-09-19T00:09:35Z</dcterms:modified>
</cp:coreProperties>
</file>